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HFS\Users\dbassett\Developments\East Rosemary\Misc other reports\"/>
    </mc:Choice>
  </mc:AlternateContent>
  <bookViews>
    <workbookView xWindow="0" yWindow="0" windowWidth="16545" windowHeight="11400"/>
  </bookViews>
  <sheets>
    <sheet name="NCG" sheetId="4" r:id="rId1"/>
    <sheet name="Grubb" sheetId="7" r:id="rId2"/>
    <sheet name="Lender Requirements" sheetId="6" r:id="rId3"/>
  </sheets>
  <externalReferences>
    <externalReference r:id="rId4"/>
  </externalReferences>
  <definedNames>
    <definedName name="_Key1" localSheetId="1" hidden="1">#REF!</definedName>
    <definedName name="_Key1" hidden="1">#REF!</definedName>
    <definedName name="_Key2" localSheetId="1" hidden="1">'[1]Details of Preopening'!#REF!</definedName>
    <definedName name="_Key2" hidden="1">'[1]Details of Preopening'!#REF!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Access_Button" hidden="1">"Loan_Front_End_Input_List"</definedName>
    <definedName name="AccessDatabase" hidden="1">"C:\My Documents\DAVE\MODELS\Cash at Risk\Loan Front End.mdb"</definedName>
    <definedName name="dddddd" localSheetId="1" hidden="1">{#N/A,#N/A,FALSE,"CAPREIT"}</definedName>
    <definedName name="dddddd" hidden="1">{#N/A,#N/A,FALSE,"CAPREIT"}</definedName>
    <definedName name="ddddddd" localSheetId="1" hidden="1">{#N/A,#N/A,FALSE,"CAPREIT"}</definedName>
    <definedName name="ddddddd" hidden="1">{#N/A,#N/A,FALSE,"CAPREIT"}</definedName>
    <definedName name="Debt_Show1_Amort" hidden="1">#REF!</definedName>
    <definedName name="Debt_Show1_AmortHC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3_AmortHC" hidden="1">#REF!</definedName>
    <definedName name="Debt_Show3_Refi" hidden="1">#REF!</definedName>
    <definedName name="Debt_Show3_Refi1" hidden="1">#REF!</definedName>
    <definedName name="Debt_Show3_Refi2" hidden="1">#REF!</definedName>
    <definedName name="eeee" localSheetId="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eeee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Estimate" localSheetId="1" hidden="1">{#N/A,#N/A,FALSE,"Detail";#N/A,#N/A,FALSE,"Totals"}</definedName>
    <definedName name="Estimate" hidden="1">{#N/A,#N/A,FALSE,"Detail";#N/A,#N/A,FALSE,"Totals"}</definedName>
    <definedName name="fdfdfd" localSheetId="1" hidden="1">{#N/A,#N/A,FALSE,"CAPREIT"}</definedName>
    <definedName name="fdfdfd" hidden="1">{#N/A,#N/A,FALSE,"CAPREIT"}</definedName>
    <definedName name="fdfdfdf" localSheetId="1" hidden="1">{#N/A,#N/A,FALSE,"CAPREIT"}</definedName>
    <definedName name="fdfdfdf" hidden="1">{#N/A,#N/A,FALSE,"CAPREIT"}</definedName>
    <definedName name="om" localSheetId="1" hidden="1">{#N/A,#N/A,FALSE,"Matrix";#N/A,#N/A,FALSE,"Cash Flow";#N/A,#N/A,FALSE,"10 Year Cost Analysis"}</definedName>
    <definedName name="om" hidden="1">{#N/A,#N/A,FALSE,"Matrix";#N/A,#N/A,FALSE,"Cash Flow";#N/A,#N/A,FALSE,"10 Year Cost Analysis"}</definedName>
    <definedName name="omm" localSheetId="1" hidden="1">{#N/A,#N/A,FALSE,"matx B4 DS";#N/A,#N/A,FALSE,"matx B4 DS Hac";#N/A,#N/A,FALSE,"matx B4 DS Chabot";#N/A,#N/A,FALSE,"matx B4 DS Diablo"}</definedName>
    <definedName name="omm" hidden="1">{#N/A,#N/A,FALSE,"matx B4 DS";#N/A,#N/A,FALSE,"matx B4 DS Hac";#N/A,#N/A,FALSE,"matx B4 DS Chabot";#N/A,#N/A,FALSE,"matx B4 DS Diablo"}</definedName>
    <definedName name="_xlnm.Print_Area" localSheetId="1">Grubb!$B$1:$E$74</definedName>
    <definedName name="_xlnm.Print_Area" localSheetId="0">NCG!$B$1:$E$73</definedName>
    <definedName name="Property" hidden="1">#REF!</definedName>
    <definedName name="Property1" hidden="1">#REF!</definedName>
    <definedName name="Tim" hidden="1">#REF!</definedName>
    <definedName name="wrn.All._.Schedules." localSheetId="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ll._.Schedules.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CAPREIT." localSheetId="1" hidden="1">{#N/A,#N/A,FALSE,"CAPREIT"}</definedName>
    <definedName name="wrn.CAPREIT." hidden="1">{#N/A,#N/A,FALSE,"CAPREIT"}</definedName>
    <definedName name="wrn.CAPREIT2" localSheetId="1" hidden="1">{#N/A,#N/A,FALSE,"CAPREIT"}</definedName>
    <definedName name="wrn.CAPREIT2" hidden="1">{#N/A,#N/A,FALSE,"CAPREIT"}</definedName>
    <definedName name="wrn.Cash._.Flow._.and._.Matrix." localSheetId="1" hidden="1">{#N/A,#N/A,FALSE,"Matrix";#N/A,#N/A,FALSE,"Cash Flow";#N/A,#N/A,FALSE,"10 Year Cost Analysis"}</definedName>
    <definedName name="wrn.Cash._.Flow._.and._.Matrix." hidden="1">{#N/A,#N/A,FALSE,"Matrix";#N/A,#N/A,FALSE,"Cash Flow";#N/A,#N/A,FALSE,"10 Year Cost Analysis"}</definedName>
    <definedName name="wrn.CASH._.FLOWS._.ONLY." localSheetId="1" hidden="1">{#N/A,#N/A,FALSE,"Assumptions";#N/A,#N/A,FALSE,"Consol CF";#N/A,#N/A,FALSE,"Hacienda CF";#N/A,#N/A,FALSE,"Chabot CF";#N/A,#N/A,FALSE,"Diablo CF"}</definedName>
    <definedName name="wrn.CASH._.FLOWS._.ONLY." hidden="1">{#N/A,#N/A,FALSE,"Assumptions";#N/A,#N/A,FALSE,"Consol CF";#N/A,#N/A,FALSE,"Hacienda CF";#N/A,#N/A,FALSE,"Chabot CF";#N/A,#N/A,FALSE,"Diablo CF"}</definedName>
    <definedName name="wrn.Garage." localSheetId="1" hidden="1">{#N/A,#N/A,FALSE,"Garage Assumpt 1";#N/A,#N/A,FALSE,"Garage Op Proj";#N/A,#N/A,FALSE,"Hist I&amp;E";#N/A,#N/A,FALSE,"Garage Lease"}</definedName>
    <definedName name="wrn.Garage." hidden="1">{#N/A,#N/A,FALSE,"Garage Assumpt 1";#N/A,#N/A,FALSE,"Garage Op Proj";#N/A,#N/A,FALSE,"Hist I&amp;E";#N/A,#N/A,FALSE,"Garage Lease"}</definedName>
    <definedName name="wrn.Income._.Statements." localSheetId="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MATRICES._.and._.CFs." localSheetId="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localSheetId="1" hidden="1">{#N/A,#N/A,FALSE,"matx B4 DS";#N/A,#N/A,FALSE,"matx B4 DS Hac";#N/A,#N/A,FALSE,"matx B4 DS Chabot";#N/A,#N/A,FALSE,"matx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Palms._.at._.South._.Shore." localSheetId="1" hidden="1">{#N/A,#N/A,FALSE,"loananalysis";#N/A,#N/A,FALSE,"proforma";#N/A,#N/A,FALSE,"unitmix"}</definedName>
    <definedName name="wrn.Palms._.at._.South._.Shore." hidden="1">{#N/A,#N/A,FALSE,"loananalysis";#N/A,#N/A,FALSE,"proforma";#N/A,#N/A,FALSE,"unitmix"}</definedName>
    <definedName name="wrn.Pineway." localSheetId="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SPG._.Estimate." localSheetId="1" hidden="1">{#N/A,#N/A,FALSE,"Detail";#N/A,#N/A,FALSE,"Totals"}</definedName>
    <definedName name="wrn.SPG._.Estimate." hidden="1">{#N/A,#N/A,FALSE,"Detail";#N/A,#N/A,FALSE,"Totals"}</definedName>
    <definedName name="wrn.Standard._.Report." localSheetId="1" hidden="1">{#N/A,#N/A,FALSE,"Summary";#N/A,#N/A,FALSE,"Construction";#N/A,#N/A,FALSE,"Cash Flow"}</definedName>
    <definedName name="wrn.Standard._.Report." hidden="1">{#N/A,#N/A,FALSE,"Summary";#N/A,#N/A,FALSE,"Construction";#N/A,#N/A,FALSE,"Cash Flow"}</definedName>
    <definedName name="ww" localSheetId="1" hidden="1">{#N/A,#N/A,FALSE,"Garage Assumpt 1";#N/A,#N/A,FALSE,"Garage Op Proj";#N/A,#N/A,FALSE,"Hist I&amp;E";#N/A,#N/A,FALSE,"Garage Lease"}</definedName>
    <definedName name="ww" hidden="1">{#N/A,#N/A,FALSE,"Garage Assumpt 1";#N/A,#N/A,FALSE,"Garage Op Proj";#N/A,#N/A,FALSE,"Hist I&amp;E";#N/A,#N/A,FALSE,"Garage Lease"}</definedName>
    <definedName name="Yes" hidden="1">'[1]Details of Preopening'!#REF!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" i="7" l="1"/>
  <c r="K50" i="7"/>
  <c r="K51" i="7"/>
  <c r="K52" i="7"/>
  <c r="K53" i="7"/>
  <c r="K48" i="7"/>
  <c r="K47" i="7"/>
  <c r="K41" i="7"/>
  <c r="K42" i="7"/>
  <c r="K43" i="7"/>
  <c r="K46" i="7"/>
  <c r="K36" i="7"/>
  <c r="D48" i="7"/>
  <c r="D46" i="7"/>
  <c r="H39" i="7"/>
  <c r="I41" i="7" s="1"/>
  <c r="D43" i="7" s="1"/>
  <c r="F39" i="7"/>
  <c r="H38" i="7"/>
  <c r="D29" i="7"/>
  <c r="D35" i="7" s="1"/>
  <c r="D24" i="7"/>
  <c r="D34" i="7" s="1"/>
  <c r="D23" i="7"/>
  <c r="D16" i="7"/>
  <c r="D33" i="7" s="1"/>
  <c r="D8" i="7"/>
  <c r="D32" i="7" s="1"/>
  <c r="K6" i="7"/>
  <c r="D6" i="7"/>
  <c r="B2" i="7"/>
  <c r="D49" i="7" l="1"/>
  <c r="D36" i="7"/>
  <c r="D6" i="4"/>
  <c r="F49" i="7" l="1"/>
  <c r="D51" i="7"/>
  <c r="D62" i="7"/>
  <c r="D63" i="7" s="1"/>
  <c r="D72" i="7"/>
  <c r="K6" i="4"/>
  <c r="F39" i="4"/>
  <c r="D73" i="7" l="1"/>
  <c r="D50" i="7"/>
  <c r="D52" i="7" s="1"/>
  <c r="D43" i="4"/>
  <c r="H38" i="4"/>
  <c r="H39" i="4" s="1"/>
  <c r="I41" i="4" s="1"/>
  <c r="D47" i="4"/>
  <c r="D46" i="4"/>
  <c r="D65" i="7" l="1"/>
  <c r="D53" i="7"/>
  <c r="D54" i="7"/>
  <c r="D61" i="7" s="1"/>
  <c r="I51" i="7"/>
  <c r="I52" i="7" s="1"/>
  <c r="F51" i="7"/>
  <c r="B2" i="4"/>
  <c r="D66" i="7" l="1"/>
  <c r="D74" i="7"/>
  <c r="D23" i="4"/>
  <c r="D24" i="4" s="1"/>
  <c r="D34" i="4" s="1"/>
  <c r="D29" i="4" l="1"/>
  <c r="D35" i="4" s="1"/>
  <c r="D16" i="4"/>
  <c r="D8" i="4"/>
  <c r="D32" i="4" s="1"/>
  <c r="D33" i="4" l="1"/>
  <c r="D36" i="4" s="1"/>
  <c r="D48" i="4" l="1"/>
  <c r="D50" i="4" s="1"/>
  <c r="D61" i="4"/>
  <c r="D71" i="4" s="1"/>
  <c r="D72" i="4" s="1"/>
  <c r="D49" i="4" l="1"/>
  <c r="D51" i="4" s="1"/>
  <c r="D64" i="4" s="1"/>
  <c r="G50" i="4" l="1"/>
  <c r="G51" i="4" s="1"/>
  <c r="D73" i="4"/>
  <c r="D65" i="4"/>
  <c r="D62" i="4"/>
  <c r="D53" i="4" l="1"/>
  <c r="D60" i="4" s="1"/>
  <c r="D52" i="4"/>
</calcChain>
</file>

<file path=xl/sharedStrings.xml><?xml version="1.0" encoding="utf-8"?>
<sst xmlns="http://schemas.openxmlformats.org/spreadsheetml/2006/main" count="174" uniqueCount="97">
  <si>
    <t>Acq. Basis</t>
  </si>
  <si>
    <t>Hard Costs</t>
  </si>
  <si>
    <t>TI</t>
  </si>
  <si>
    <t>LC</t>
  </si>
  <si>
    <t>Construction Interest</t>
  </si>
  <si>
    <t>Office NOI</t>
  </si>
  <si>
    <t>Retail NOI</t>
  </si>
  <si>
    <t>Total NOI</t>
  </si>
  <si>
    <t>PSF</t>
  </si>
  <si>
    <t>Development Fee</t>
  </si>
  <si>
    <t>Office Opex</t>
  </si>
  <si>
    <t>Office - Net Rent</t>
  </si>
  <si>
    <t>Office TI</t>
  </si>
  <si>
    <t>Office LC</t>
  </si>
  <si>
    <t>Office Stab. Occupancy</t>
  </si>
  <si>
    <t>Office Rent (Gross)</t>
  </si>
  <si>
    <t>Contruction Debt Rate</t>
  </si>
  <si>
    <t>Stabilization Years</t>
  </si>
  <si>
    <t>Retail Opex</t>
  </si>
  <si>
    <t>Retail - Net Rent</t>
  </si>
  <si>
    <t>Retail TI</t>
  </si>
  <si>
    <t>Retail LC</t>
  </si>
  <si>
    <t>Retail Stab. Occupancy</t>
  </si>
  <si>
    <t>Office Square Feet</t>
  </si>
  <si>
    <t>Retail Square Feet</t>
  </si>
  <si>
    <t>Parking Spaces</t>
  </si>
  <si>
    <t>Retail Rent (Net)</t>
  </si>
  <si>
    <t>Parking Rent / Space / Month</t>
  </si>
  <si>
    <t>Parking Opex / Space / Month</t>
  </si>
  <si>
    <t>Parking Net Rent</t>
  </si>
  <si>
    <t>Parking Stab. Occupancy</t>
  </si>
  <si>
    <t>Development Costs</t>
  </si>
  <si>
    <t>Construction Debt Assumptions</t>
  </si>
  <si>
    <t>Debt Yield</t>
  </si>
  <si>
    <t>PSF Exit Value</t>
  </si>
  <si>
    <t>Construction Debt Proceeds</t>
  </si>
  <si>
    <t>Permanent Loan Proceeds</t>
  </si>
  <si>
    <t>Negative NOI Through Development</t>
  </si>
  <si>
    <t>Construction Loan Fees</t>
  </si>
  <si>
    <t>MF Square Feet</t>
  </si>
  <si>
    <t>MF Opex</t>
  </si>
  <si>
    <t>MF - Net Rent</t>
  </si>
  <si>
    <t>MF Stab. Occupancy</t>
  </si>
  <si>
    <t>MF NOI</t>
  </si>
  <si>
    <t>Income</t>
  </si>
  <si>
    <t>Loan to Value</t>
  </si>
  <si>
    <t>MF Rent (Gross)</t>
  </si>
  <si>
    <t>Retail Avg. Lease Term</t>
  </si>
  <si>
    <t>Office Avg. Lease Term</t>
  </si>
  <si>
    <t>Other Annual Income</t>
  </si>
  <si>
    <t>Parking &amp; Other NOI</t>
  </si>
  <si>
    <t>Construction Loan Requirements</t>
  </si>
  <si>
    <t>Senior Loan Debt Yield of 10%</t>
  </si>
  <si>
    <t>Senior Loan to Value less than 65% using lender assumed cap rate</t>
  </si>
  <si>
    <t>Preleasing to-be-determined, but assume &gt;25% (could be higher or lower)</t>
  </si>
  <si>
    <t xml:space="preserve">U.S. based guarantor of non-recourse carve outs (bad boy, environmental, completion) </t>
  </si>
  <si>
    <t>Loan Amount Lower of:</t>
  </si>
  <si>
    <t>Adjustment</t>
  </si>
  <si>
    <t>Desired Construction LTC</t>
  </si>
  <si>
    <t>Construction Loan Debt Yield of 12% (could be less with more preleasing or credit)</t>
  </si>
  <si>
    <t>Construction Loan to Cost less than 65% (could be higher with more preleasing or credit)</t>
  </si>
  <si>
    <t>Return on Cost</t>
  </si>
  <si>
    <t>Lender Budget*</t>
  </si>
  <si>
    <t>Perm Loan to Value</t>
  </si>
  <si>
    <t>Perm Debt less Construction Loan (Refi proceeds)</t>
  </si>
  <si>
    <t>Achieved Debt Yield (Target &gt; 12%)</t>
  </si>
  <si>
    <t>10% of loan amount as Liquidity Reserve</t>
  </si>
  <si>
    <t>Senior Loan (takeout) Requirments</t>
  </si>
  <si>
    <t>Assumed Exit Cap Rate</t>
  </si>
  <si>
    <t>Assumed Exit Value</t>
  </si>
  <si>
    <t>Permanent Debt (take out) Assumptions</t>
  </si>
  <si>
    <t>Able to be taken out by Senior Loan (see below)</t>
  </si>
  <si>
    <t xml:space="preserve">Multi Tenant Office ROC/Financing </t>
  </si>
  <si>
    <t>Street/Site Costs</t>
  </si>
  <si>
    <t>Total soft</t>
  </si>
  <si>
    <t>ROC Spread (Target 1.5%)</t>
  </si>
  <si>
    <t>Project Soft Costs</t>
  </si>
  <si>
    <t>Community Benefits</t>
  </si>
  <si>
    <t>*Lower bc wet lab in build-out of 25%</t>
  </si>
  <si>
    <t>*Possibly removed if direct lease to UNC</t>
  </si>
  <si>
    <t>*Could be higher if anchor tenant taking majority</t>
  </si>
  <si>
    <t>office</t>
  </si>
  <si>
    <t>lab</t>
  </si>
  <si>
    <t>parking</t>
  </si>
  <si>
    <t>Hard Cost Detail</t>
  </si>
  <si>
    <t>Return on Cost spread of 2% over assumed exit cap rate.  Could be lower w/institutional anchor</t>
  </si>
  <si>
    <t>*Current market leader is Carolina Square at $36.50</t>
  </si>
  <si>
    <t>Operating Reserve</t>
  </si>
  <si>
    <t>incl</t>
  </si>
  <si>
    <t>Contingency</t>
  </si>
  <si>
    <t>Grubb</t>
  </si>
  <si>
    <t>LC and Fee</t>
  </si>
  <si>
    <t>Fin costs</t>
  </si>
  <si>
    <t>grubb</t>
  </si>
  <si>
    <t>Diff</t>
  </si>
  <si>
    <t>something weird here</t>
  </si>
  <si>
    <t>what???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</si>
</sst>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"/>
    <numFmt numFmtId="166" formatCode="mmmm\ dd\,\ yyyy"/>
    <numFmt numFmtId="167" formatCode="0.0000%"/>
    <numFmt numFmtId="168" formatCode="_(* #,##0_);_(* \(#,##0\);_(* &quot;-&quot;??_);_(@_)"/>
    <numFmt numFmtId="169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6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99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0" xfId="0" applyFill="1" applyBorder="1"/>
    <xf numFmtId="0" fontId="2" fillId="0" borderId="0" xfId="0" applyFont="1" applyFill="1" applyBorder="1" applyAlignment="1">
      <alignment horizontal="right"/>
    </xf>
    <xf numFmtId="164" fontId="7" fillId="0" borderId="0" xfId="0" applyNumberFormat="1" applyFont="1"/>
    <xf numFmtId="0" fontId="8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37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0" fontId="4" fillId="0" borderId="0" xfId="0" applyFont="1" applyFill="1" applyBorder="1"/>
    <xf numFmtId="0" fontId="2" fillId="5" borderId="2" xfId="0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4" xfId="0" applyFill="1" applyBorder="1"/>
    <xf numFmtId="37" fontId="6" fillId="2" borderId="7" xfId="0" applyNumberFormat="1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2" borderId="6" xfId="0" applyFont="1" applyFill="1" applyBorder="1"/>
    <xf numFmtId="0" fontId="4" fillId="0" borderId="7" xfId="0" applyFont="1" applyBorder="1" applyAlignment="1">
      <alignment horizontal="left" indent="1"/>
    </xf>
    <xf numFmtId="0" fontId="2" fillId="7" borderId="2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0" fillId="0" borderId="9" xfId="0" applyFont="1" applyBorder="1"/>
    <xf numFmtId="0" fontId="4" fillId="0" borderId="12" xfId="0" applyFont="1" applyBorder="1" applyAlignment="1">
      <alignment horizontal="left" indent="1"/>
    </xf>
    <xf numFmtId="0" fontId="0" fillId="0" borderId="14" xfId="0" applyBorder="1"/>
    <xf numFmtId="0" fontId="0" fillId="0" borderId="13" xfId="0" applyFill="1" applyBorder="1"/>
    <xf numFmtId="0" fontId="0" fillId="0" borderId="13" xfId="0" applyBorder="1"/>
    <xf numFmtId="0" fontId="0" fillId="0" borderId="15" xfId="0" applyBorder="1"/>
    <xf numFmtId="164" fontId="0" fillId="0" borderId="0" xfId="1" applyNumberFormat="1" applyFont="1"/>
    <xf numFmtId="165" fontId="0" fillId="0" borderId="0" xfId="0" applyNumberFormat="1"/>
    <xf numFmtId="37" fontId="0" fillId="0" borderId="0" xfId="0" applyNumberFormat="1"/>
    <xf numFmtId="0" fontId="0" fillId="0" borderId="5" xfId="0" applyFill="1" applyBorder="1"/>
    <xf numFmtId="0" fontId="9" fillId="0" borderId="1" xfId="0" applyFont="1" applyBorder="1"/>
    <xf numFmtId="164" fontId="0" fillId="0" borderId="5" xfId="1" applyNumberFormat="1" applyFont="1" applyFill="1" applyBorder="1" applyAlignment="1">
      <alignment horizontal="left"/>
    </xf>
    <xf numFmtId="164" fontId="0" fillId="0" borderId="0" xfId="1" applyNumberFormat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2" fillId="0" borderId="9" xfId="0" applyFont="1" applyBorder="1" applyAlignment="1">
      <alignment horizontal="left" indent="3"/>
    </xf>
    <xf numFmtId="37" fontId="4" fillId="0" borderId="12" xfId="0" applyNumberFormat="1" applyFont="1" applyFill="1" applyBorder="1"/>
    <xf numFmtId="0" fontId="2" fillId="7" borderId="2" xfId="0" applyFont="1" applyFill="1" applyBorder="1" applyAlignment="1">
      <alignment horizontal="right"/>
    </xf>
    <xf numFmtId="164" fontId="7" fillId="0" borderId="14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37" fontId="0" fillId="0" borderId="4" xfId="0" applyNumberFormat="1" applyFont="1" applyFill="1" applyBorder="1"/>
    <xf numFmtId="164" fontId="7" fillId="0" borderId="4" xfId="0" applyNumberFormat="1" applyFont="1" applyFill="1" applyBorder="1" applyAlignment="1">
      <alignment horizontal="right"/>
    </xf>
    <xf numFmtId="37" fontId="6" fillId="2" borderId="4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horizontal="right"/>
    </xf>
    <xf numFmtId="37" fontId="0" fillId="0" borderId="8" xfId="0" applyNumberFormat="1" applyBorder="1" applyAlignment="1">
      <alignment horizontal="right"/>
    </xf>
    <xf numFmtId="37" fontId="7" fillId="0" borderId="9" xfId="0" applyNumberFormat="1" applyFont="1" applyBorder="1" applyAlignment="1">
      <alignment horizontal="right"/>
    </xf>
    <xf numFmtId="37" fontId="0" fillId="0" borderId="9" xfId="0" applyNumberFormat="1" applyBorder="1" applyAlignment="1">
      <alignment horizontal="right"/>
    </xf>
    <xf numFmtId="37" fontId="7" fillId="0" borderId="10" xfId="0" applyNumberFormat="1" applyFont="1" applyBorder="1" applyAlignment="1">
      <alignment horizontal="right"/>
    </xf>
    <xf numFmtId="37" fontId="0" fillId="0" borderId="11" xfId="0" applyNumberFormat="1" applyBorder="1" applyAlignment="1">
      <alignment horizontal="right"/>
    </xf>
    <xf numFmtId="37" fontId="6" fillId="2" borderId="6" xfId="0" applyNumberFormat="1" applyFont="1" applyFill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37" fontId="7" fillId="0" borderId="14" xfId="0" applyNumberFormat="1" applyFont="1" applyBorder="1" applyAlignment="1">
      <alignment horizontal="right"/>
    </xf>
    <xf numFmtId="39" fontId="7" fillId="0" borderId="4" xfId="0" applyNumberFormat="1" applyFont="1" applyBorder="1" applyAlignment="1">
      <alignment horizontal="right"/>
    </xf>
    <xf numFmtId="39" fontId="3" fillId="0" borderId="4" xfId="0" applyNumberFormat="1" applyFont="1" applyBorder="1" applyAlignment="1">
      <alignment horizontal="right"/>
    </xf>
    <xf numFmtId="37" fontId="7" fillId="0" borderId="4" xfId="0" applyNumberFormat="1" applyFont="1" applyBorder="1" applyAlignment="1">
      <alignment horizontal="right"/>
    </xf>
    <xf numFmtId="10" fontId="7" fillId="0" borderId="4" xfId="0" applyNumberFormat="1" applyFont="1" applyBorder="1" applyAlignment="1">
      <alignment horizontal="right"/>
    </xf>
    <xf numFmtId="164" fontId="7" fillId="0" borderId="13" xfId="0" applyNumberFormat="1" applyFont="1" applyBorder="1" applyAlignment="1">
      <alignment horizontal="right"/>
    </xf>
    <xf numFmtId="37" fontId="7" fillId="0" borderId="15" xfId="0" applyNumberFormat="1" applyFont="1" applyBorder="1" applyAlignment="1">
      <alignment horizontal="right"/>
    </xf>
    <xf numFmtId="39" fontId="7" fillId="3" borderId="4" xfId="0" applyNumberFormat="1" applyFont="1" applyFill="1" applyBorder="1" applyAlignment="1">
      <alignment horizontal="right"/>
    </xf>
    <xf numFmtId="37" fontId="7" fillId="0" borderId="5" xfId="0" applyNumberFormat="1" applyFont="1" applyBorder="1" applyAlignment="1">
      <alignment horizontal="right"/>
    </xf>
    <xf numFmtId="37" fontId="0" fillId="0" borderId="15" xfId="0" applyNumberFormat="1" applyBorder="1" applyAlignment="1">
      <alignment horizontal="right"/>
    </xf>
    <xf numFmtId="37" fontId="0" fillId="0" borderId="4" xfId="0" applyNumberFormat="1" applyBorder="1" applyAlignment="1">
      <alignment horizontal="right"/>
    </xf>
    <xf numFmtId="37" fontId="0" fillId="0" borderId="13" xfId="0" applyNumberFormat="1" applyBorder="1" applyAlignment="1">
      <alignment horizontal="right"/>
    </xf>
    <xf numFmtId="37" fontId="6" fillId="2" borderId="7" xfId="0" applyNumberFormat="1" applyFont="1" applyFill="1" applyBorder="1" applyAlignment="1">
      <alignment horizontal="right"/>
    </xf>
    <xf numFmtId="37" fontId="7" fillId="4" borderId="9" xfId="0" applyNumberFormat="1" applyFont="1" applyFill="1" applyBorder="1" applyAlignment="1">
      <alignment horizontal="right"/>
    </xf>
    <xf numFmtId="10" fontId="7" fillId="0" borderId="4" xfId="1" applyNumberFormat="1" applyFont="1" applyBorder="1" applyAlignment="1">
      <alignment horizontal="right"/>
    </xf>
    <xf numFmtId="10" fontId="5" fillId="2" borderId="2" xfId="1" applyNumberFormat="1" applyFont="1" applyFill="1" applyBorder="1" applyAlignment="1">
      <alignment horizontal="right"/>
    </xf>
    <xf numFmtId="0" fontId="4" fillId="0" borderId="0" xfId="0" applyFont="1"/>
    <xf numFmtId="4" fontId="4" fillId="0" borderId="0" xfId="0" applyNumberFormat="1" applyFont="1"/>
    <xf numFmtId="0" fontId="6" fillId="2" borderId="2" xfId="0" applyFont="1" applyFill="1" applyBorder="1"/>
    <xf numFmtId="164" fontId="3" fillId="4" borderId="13" xfId="0" applyNumberFormat="1" applyFont="1" applyFill="1" applyBorder="1" applyAlignment="1">
      <alignment horizontal="right"/>
    </xf>
    <xf numFmtId="0" fontId="0" fillId="8" borderId="16" xfId="0" applyFont="1" applyFill="1" applyBorder="1" applyAlignment="1">
      <alignment horizontal="left"/>
    </xf>
    <xf numFmtId="0" fontId="0" fillId="0" borderId="17" xfId="0" applyFont="1" applyBorder="1"/>
    <xf numFmtId="0" fontId="0" fillId="0" borderId="17" xfId="0" applyFont="1" applyBorder="1" applyAlignment="1">
      <alignment horizontal="left" indent="2"/>
    </xf>
    <xf numFmtId="0" fontId="4" fillId="0" borderId="17" xfId="0" applyFont="1" applyBorder="1" applyAlignment="1">
      <alignment horizontal="left" indent="1"/>
    </xf>
    <xf numFmtId="0" fontId="0" fillId="0" borderId="18" xfId="0" applyFont="1" applyBorder="1"/>
    <xf numFmtId="0" fontId="2" fillId="8" borderId="16" xfId="0" applyFont="1" applyFill="1" applyBorder="1" applyAlignment="1">
      <alignment horizontal="right"/>
    </xf>
    <xf numFmtId="0" fontId="0" fillId="3" borderId="17" xfId="0" applyFont="1" applyFill="1" applyBorder="1"/>
    <xf numFmtId="164" fontId="7" fillId="0" borderId="17" xfId="0" applyNumberFormat="1" applyFont="1" applyFill="1" applyBorder="1" applyAlignment="1">
      <alignment horizontal="right"/>
    </xf>
    <xf numFmtId="37" fontId="0" fillId="0" borderId="17" xfId="0" applyNumberFormat="1" applyFont="1" applyFill="1" applyBorder="1" applyAlignment="1">
      <alignment horizontal="right"/>
    </xf>
    <xf numFmtId="9" fontId="4" fillId="0" borderId="17" xfId="1" applyNumberFormat="1" applyFont="1" applyFill="1" applyBorder="1"/>
    <xf numFmtId="37" fontId="0" fillId="0" borderId="18" xfId="0" applyNumberFormat="1" applyFont="1" applyFill="1" applyBorder="1" applyAlignment="1">
      <alignment horizontal="right"/>
    </xf>
    <xf numFmtId="166" fontId="2" fillId="0" borderId="0" xfId="0" applyNumberFormat="1" applyFont="1" applyAlignment="1">
      <alignment horizontal="left"/>
    </xf>
    <xf numFmtId="39" fontId="10" fillId="0" borderId="4" xfId="0" applyNumberFormat="1" applyFont="1" applyBorder="1" applyAlignment="1">
      <alignment horizontal="right"/>
    </xf>
    <xf numFmtId="9" fontId="0" fillId="0" borderId="0" xfId="1" applyFont="1"/>
    <xf numFmtId="37" fontId="3" fillId="0" borderId="9" xfId="0" applyNumberFormat="1" applyFont="1" applyBorder="1" applyAlignment="1">
      <alignment horizontal="right"/>
    </xf>
    <xf numFmtId="37" fontId="11" fillId="0" borderId="4" xfId="0" applyNumberFormat="1" applyFont="1" applyBorder="1" applyAlignment="1">
      <alignment horizontal="right"/>
    </xf>
    <xf numFmtId="37" fontId="7" fillId="0" borderId="9" xfId="0" applyNumberFormat="1" applyFont="1" applyFill="1" applyBorder="1" applyAlignment="1">
      <alignment horizontal="right"/>
    </xf>
    <xf numFmtId="0" fontId="12" fillId="4" borderId="9" xfId="0" applyFont="1" applyFill="1" applyBorder="1" applyAlignment="1">
      <alignment horizontal="left" indent="3"/>
    </xf>
    <xf numFmtId="167" fontId="3" fillId="4" borderId="4" xfId="0" applyNumberFormat="1" applyFont="1" applyFill="1" applyBorder="1" applyAlignment="1">
      <alignment horizontal="right"/>
    </xf>
    <xf numFmtId="168" fontId="0" fillId="0" borderId="0" xfId="3" applyNumberFormat="1" applyFont="1"/>
    <xf numFmtId="169" fontId="13" fillId="0" borderId="0" xfId="0" applyNumberFormat="1" applyFont="1"/>
    <xf numFmtId="0" fontId="0" fillId="0" borderId="1" xfId="0" applyBorder="1"/>
    <xf numFmtId="169" fontId="13" fillId="0" borderId="1" xfId="0" applyNumberFormat="1" applyFont="1" applyBorder="1"/>
    <xf numFmtId="169" fontId="0" fillId="0" borderId="0" xfId="0" applyNumberFormat="1"/>
    <xf numFmtId="44" fontId="0" fillId="0" borderId="0" xfId="4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/>
    <xf numFmtId="37" fontId="6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37" fontId="0" fillId="0" borderId="4" xfId="0" applyNumberFormat="1" applyBorder="1"/>
    <xf numFmtId="37" fontId="4" fillId="0" borderId="12" xfId="0" applyNumberFormat="1" applyFont="1" applyBorder="1"/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 indent="1"/>
    </xf>
    <xf numFmtId="0" fontId="0" fillId="8" borderId="16" xfId="0" applyFill="1" applyBorder="1" applyAlignment="1">
      <alignment horizontal="left"/>
    </xf>
    <xf numFmtId="0" fontId="0" fillId="0" borderId="17" xfId="0" applyBorder="1"/>
    <xf numFmtId="0" fontId="0" fillId="3" borderId="17" xfId="0" applyFill="1" applyBorder="1"/>
    <xf numFmtId="0" fontId="0" fillId="0" borderId="17" xfId="0" applyBorder="1" applyAlignment="1">
      <alignment horizontal="left" indent="2"/>
    </xf>
    <xf numFmtId="164" fontId="7" fillId="0" borderId="17" xfId="0" applyNumberFormat="1" applyFont="1" applyBorder="1" applyAlignment="1">
      <alignment horizontal="right"/>
    </xf>
    <xf numFmtId="37" fontId="0" fillId="0" borderId="17" xfId="0" applyNumberFormat="1" applyBorder="1" applyAlignment="1">
      <alignment horizontal="right"/>
    </xf>
    <xf numFmtId="9" fontId="4" fillId="0" borderId="17" xfId="1" applyFont="1" applyFill="1" applyBorder="1"/>
    <xf numFmtId="0" fontId="0" fillId="0" borderId="18" xfId="0" applyBorder="1"/>
    <xf numFmtId="37" fontId="0" fillId="0" borderId="18" xfId="0" applyNumberFormat="1" applyBorder="1" applyAlignment="1">
      <alignment horizontal="right"/>
    </xf>
  </cellXfs>
  <cellStyles count="5">
    <cellStyle name="Comma" xfId="3" builtinId="3"/>
    <cellStyle name="Currency" xfId="4" builtinId="4"/>
    <cellStyle name="Normal" xfId="0" builtinId="0"/>
    <cellStyle name="Normal 4" xfId="2"/>
    <cellStyle name="Percent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66FF"/>
      <color rgb="FF00FF00"/>
      <color rgb="FFFF9900"/>
      <color rgb="FFFF0000"/>
      <color rgb="FFFF9966"/>
      <color rgb="FFCC99FF"/>
      <color rgb="FF99FF99"/>
      <color rgb="FF33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tanley%20R.%20Woelfel%20J\Local%20Settings\Temporary%20Internet%20Files\OLK414\Pre-Opening%20Budget%20-%20Hotel%20Elle%20160%20Room%20Protoyp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re-Opening Cover"/>
      <sheetName val="Pre-Opening Task Force"/>
      <sheetName val="Details of Preopening"/>
      <sheetName val="Don't Edit--&gt;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showGridLines="0" tabSelected="1" zoomScaleNormal="100" workbookViewId="0">
      <selection activeCell="I46" sqref="I46"/>
    </sheetView>
  </sheetViews>
  <sheetFormatPr defaultRowHeight="15" x14ac:dyDescent="0.25"/>
  <cols>
    <col min="1" max="1" width="6.140625" bestFit="1" customWidth="1"/>
    <col min="2" max="2" width="45.28515625" customWidth="1"/>
    <col min="3" max="3" width="2" style="3" customWidth="1"/>
    <col min="4" max="4" width="25.7109375" customWidth="1"/>
    <col min="5" max="5" width="2" style="3" customWidth="1"/>
    <col min="6" max="6" width="13.85546875" customWidth="1"/>
    <col min="7" max="7" width="10.42578125" bestFit="1" customWidth="1"/>
    <col min="9" max="9" width="10.5703125" customWidth="1"/>
  </cols>
  <sheetData>
    <row r="1" spans="2:11" x14ac:dyDescent="0.25">
      <c r="B1" s="1" t="s">
        <v>72</v>
      </c>
      <c r="C1" s="8"/>
      <c r="D1" s="6"/>
      <c r="E1" s="8"/>
    </row>
    <row r="2" spans="2:11" x14ac:dyDescent="0.25">
      <c r="B2" s="97">
        <f ca="1">TODAY()</f>
        <v>44085</v>
      </c>
      <c r="C2" s="8"/>
      <c r="D2" s="6"/>
      <c r="E2" s="8"/>
    </row>
    <row r="3" spans="2:11" ht="15.75" thickBot="1" x14ac:dyDescent="0.3">
      <c r="B3" s="97"/>
      <c r="C3" s="8"/>
      <c r="D3" s="6"/>
      <c r="E3" s="8"/>
    </row>
    <row r="4" spans="2:11" ht="15.75" thickBot="1" x14ac:dyDescent="0.3">
      <c r="B4" s="16" t="s">
        <v>44</v>
      </c>
      <c r="C4" s="4"/>
      <c r="D4" s="65"/>
      <c r="E4" s="4"/>
    </row>
    <row r="5" spans="2:11" x14ac:dyDescent="0.25">
      <c r="B5" s="17" t="s">
        <v>23</v>
      </c>
      <c r="D5" s="66">
        <v>200000</v>
      </c>
    </row>
    <row r="6" spans="2:11" x14ac:dyDescent="0.25">
      <c r="B6" s="18" t="s">
        <v>15</v>
      </c>
      <c r="D6" s="67">
        <f>45.32</f>
        <v>45.32</v>
      </c>
      <c r="F6" t="s">
        <v>86</v>
      </c>
      <c r="K6" s="38">
        <f>(D6-36.5)/36.5</f>
        <v>0.24164383561643837</v>
      </c>
    </row>
    <row r="7" spans="2:11" x14ac:dyDescent="0.25">
      <c r="B7" s="18" t="s">
        <v>10</v>
      </c>
      <c r="D7" s="67">
        <v>10</v>
      </c>
    </row>
    <row r="8" spans="2:11" x14ac:dyDescent="0.25">
      <c r="B8" s="18" t="s">
        <v>11</v>
      </c>
      <c r="D8" s="68">
        <f t="shared" ref="D8" si="0">D6-D7</f>
        <v>35.32</v>
      </c>
    </row>
    <row r="9" spans="2:11" x14ac:dyDescent="0.25">
      <c r="B9" s="18" t="s">
        <v>12</v>
      </c>
      <c r="D9" s="69">
        <v>30</v>
      </c>
      <c r="F9" t="s">
        <v>78</v>
      </c>
    </row>
    <row r="10" spans="2:11" x14ac:dyDescent="0.25">
      <c r="B10" s="18" t="s">
        <v>13</v>
      </c>
      <c r="D10" s="70">
        <v>0.04</v>
      </c>
      <c r="F10" t="s">
        <v>79</v>
      </c>
    </row>
    <row r="11" spans="2:11" x14ac:dyDescent="0.25">
      <c r="B11" s="18" t="s">
        <v>48</v>
      </c>
      <c r="D11" s="101">
        <v>7</v>
      </c>
    </row>
    <row r="12" spans="2:11" ht="15.75" thickBot="1" x14ac:dyDescent="0.3">
      <c r="B12" s="36" t="s">
        <v>14</v>
      </c>
      <c r="D12" s="71">
        <v>0.9</v>
      </c>
      <c r="F12" t="s">
        <v>80</v>
      </c>
    </row>
    <row r="13" spans="2:11" x14ac:dyDescent="0.25">
      <c r="B13" s="34" t="s">
        <v>24</v>
      </c>
      <c r="D13" s="72">
        <v>0</v>
      </c>
    </row>
    <row r="14" spans="2:11" x14ac:dyDescent="0.25">
      <c r="B14" s="18" t="s">
        <v>26</v>
      </c>
      <c r="D14" s="67">
        <v>25</v>
      </c>
    </row>
    <row r="15" spans="2:11" x14ac:dyDescent="0.25">
      <c r="B15" s="18" t="s">
        <v>18</v>
      </c>
      <c r="D15" s="73"/>
    </row>
    <row r="16" spans="2:11" x14ac:dyDescent="0.25">
      <c r="B16" s="18" t="s">
        <v>19</v>
      </c>
      <c r="D16" s="68">
        <f t="shared" ref="D16" si="1">D14-D15</f>
        <v>25</v>
      </c>
    </row>
    <row r="17" spans="2:4" x14ac:dyDescent="0.25">
      <c r="B17" s="18" t="s">
        <v>20</v>
      </c>
      <c r="D17" s="69">
        <v>100</v>
      </c>
    </row>
    <row r="18" spans="2:4" x14ac:dyDescent="0.25">
      <c r="B18" s="18" t="s">
        <v>21</v>
      </c>
      <c r="D18" s="70">
        <v>0.06</v>
      </c>
    </row>
    <row r="19" spans="2:4" x14ac:dyDescent="0.25">
      <c r="B19" s="18" t="s">
        <v>47</v>
      </c>
      <c r="D19" s="69">
        <v>7</v>
      </c>
    </row>
    <row r="20" spans="2:4" ht="15.75" thickBot="1" x14ac:dyDescent="0.3">
      <c r="B20" s="36" t="s">
        <v>22</v>
      </c>
      <c r="D20" s="71">
        <v>0.9</v>
      </c>
    </row>
    <row r="21" spans="2:4" ht="15.75" hidden="1" thickBot="1" x14ac:dyDescent="0.3">
      <c r="B21" s="34" t="s">
        <v>39</v>
      </c>
      <c r="D21" s="72">
        <v>0</v>
      </c>
    </row>
    <row r="22" spans="2:4" ht="15.75" hidden="1" thickBot="1" x14ac:dyDescent="0.3">
      <c r="B22" s="18" t="s">
        <v>46</v>
      </c>
      <c r="D22" s="67">
        <v>0</v>
      </c>
    </row>
    <row r="23" spans="2:4" ht="15.75" hidden="1" thickBot="1" x14ac:dyDescent="0.3">
      <c r="B23" s="18" t="s">
        <v>40</v>
      </c>
      <c r="D23" s="67">
        <f t="shared" ref="D23" si="2">D22*30%</f>
        <v>0</v>
      </c>
    </row>
    <row r="24" spans="2:4" ht="15.75" hidden="1" thickBot="1" x14ac:dyDescent="0.3">
      <c r="B24" s="18" t="s">
        <v>41</v>
      </c>
      <c r="D24" s="68">
        <f t="shared" ref="D24" si="3">D22-D23</f>
        <v>0</v>
      </c>
    </row>
    <row r="25" spans="2:4" ht="15.75" hidden="1" thickBot="1" x14ac:dyDescent="0.3">
      <c r="B25" s="36" t="s">
        <v>42</v>
      </c>
      <c r="D25" s="71">
        <v>0</v>
      </c>
    </row>
    <row r="26" spans="2:4" x14ac:dyDescent="0.25">
      <c r="B26" s="34" t="s">
        <v>25</v>
      </c>
      <c r="D26" s="72">
        <v>200</v>
      </c>
    </row>
    <row r="27" spans="2:4" x14ac:dyDescent="0.25">
      <c r="B27" s="19" t="s">
        <v>27</v>
      </c>
      <c r="D27" s="98">
        <v>100</v>
      </c>
    </row>
    <row r="28" spans="2:4" x14ac:dyDescent="0.25">
      <c r="B28" s="19" t="s">
        <v>28</v>
      </c>
      <c r="D28" s="67">
        <v>25</v>
      </c>
    </row>
    <row r="29" spans="2:4" x14ac:dyDescent="0.25">
      <c r="B29" s="19" t="s">
        <v>29</v>
      </c>
      <c r="D29" s="68">
        <f>D27-D28</f>
        <v>75</v>
      </c>
    </row>
    <row r="30" spans="2:4" x14ac:dyDescent="0.25">
      <c r="B30" s="41" t="s">
        <v>49</v>
      </c>
      <c r="D30" s="74">
        <v>0</v>
      </c>
    </row>
    <row r="31" spans="2:4" ht="15.75" thickBot="1" x14ac:dyDescent="0.3">
      <c r="B31" s="35" t="s">
        <v>30</v>
      </c>
      <c r="D31" s="71">
        <v>0.9</v>
      </c>
    </row>
    <row r="32" spans="2:4" x14ac:dyDescent="0.25">
      <c r="B32" s="37" t="s">
        <v>5</v>
      </c>
      <c r="D32" s="75">
        <f t="shared" ref="D32" si="4">(D5*D8)*D12</f>
        <v>6357600</v>
      </c>
    </row>
    <row r="33" spans="1:9" x14ac:dyDescent="0.25">
      <c r="B33" s="18" t="s">
        <v>6</v>
      </c>
      <c r="D33" s="76">
        <f t="shared" ref="D33" si="5">(D13*D16)*D20</f>
        <v>0</v>
      </c>
    </row>
    <row r="34" spans="1:9" hidden="1" x14ac:dyDescent="0.25">
      <c r="B34" s="18" t="s">
        <v>43</v>
      </c>
      <c r="D34" s="76">
        <f t="shared" ref="D34" si="6">(D21*D24)*D25</f>
        <v>0</v>
      </c>
    </row>
    <row r="35" spans="1:9" ht="15.75" thickBot="1" x14ac:dyDescent="0.3">
      <c r="B35" s="36" t="s">
        <v>50</v>
      </c>
      <c r="D35" s="77">
        <f>D30+((D29*D26)*12)*D31</f>
        <v>162000</v>
      </c>
    </row>
    <row r="36" spans="1:9" ht="15.75" thickBot="1" x14ac:dyDescent="0.3">
      <c r="B36" s="20" t="s">
        <v>7</v>
      </c>
      <c r="C36" s="11"/>
      <c r="D36" s="78">
        <f>SUM(D32:D35)</f>
        <v>6519600</v>
      </c>
      <c r="E36" s="11"/>
    </row>
    <row r="37" spans="1:9" ht="15.75" thickBot="1" x14ac:dyDescent="0.3">
      <c r="D37" s="2"/>
      <c r="G37" t="s">
        <v>84</v>
      </c>
    </row>
    <row r="38" spans="1:9" ht="15.75" thickBot="1" x14ac:dyDescent="0.3">
      <c r="B38" s="21" t="s">
        <v>31</v>
      </c>
      <c r="C38" s="8"/>
      <c r="D38" s="57"/>
      <c r="E38" s="8"/>
      <c r="G38" t="s">
        <v>81</v>
      </c>
      <c r="H38" s="105">
        <f>200000*0.75</f>
        <v>150000</v>
      </c>
      <c r="I38" s="106">
        <v>250</v>
      </c>
    </row>
    <row r="39" spans="1:9" x14ac:dyDescent="0.25">
      <c r="B39" s="22" t="s">
        <v>0</v>
      </c>
      <c r="D39" s="58">
        <v>6360000</v>
      </c>
      <c r="F39" s="110">
        <f>D39/D5</f>
        <v>31.8</v>
      </c>
      <c r="G39" t="s">
        <v>82</v>
      </c>
      <c r="H39" s="105">
        <f>200000-H38</f>
        <v>50000</v>
      </c>
      <c r="I39" s="106">
        <v>280</v>
      </c>
    </row>
    <row r="40" spans="1:9" x14ac:dyDescent="0.25">
      <c r="B40" s="48" t="s">
        <v>57</v>
      </c>
      <c r="D40" s="102"/>
      <c r="G40" s="107" t="s">
        <v>83</v>
      </c>
      <c r="H40" s="107">
        <v>200</v>
      </c>
      <c r="I40" s="108">
        <v>25000</v>
      </c>
    </row>
    <row r="41" spans="1:9" x14ac:dyDescent="0.25">
      <c r="B41" s="23" t="s">
        <v>37</v>
      </c>
      <c r="D41" s="100">
        <v>0</v>
      </c>
      <c r="I41" s="109">
        <f>SUMPRODUCT(H38:H40,I38:I40)</f>
        <v>56500000</v>
      </c>
    </row>
    <row r="42" spans="1:9" x14ac:dyDescent="0.25">
      <c r="B42" s="23" t="s">
        <v>76</v>
      </c>
      <c r="D42" s="59">
        <v>5000000</v>
      </c>
    </row>
    <row r="43" spans="1:9" x14ac:dyDescent="0.25">
      <c r="B43" s="23" t="s">
        <v>1</v>
      </c>
      <c r="D43" s="59">
        <f>I41</f>
        <v>56500000</v>
      </c>
    </row>
    <row r="44" spans="1:9" x14ac:dyDescent="0.25">
      <c r="B44" s="103" t="s">
        <v>77</v>
      </c>
      <c r="D44" s="79">
        <v>0</v>
      </c>
    </row>
    <row r="45" spans="1:9" x14ac:dyDescent="0.25">
      <c r="B45" s="23" t="s">
        <v>73</v>
      </c>
      <c r="D45" s="59">
        <v>1000000</v>
      </c>
    </row>
    <row r="46" spans="1:9" x14ac:dyDescent="0.25">
      <c r="B46" s="23" t="s">
        <v>2</v>
      </c>
      <c r="D46" s="100">
        <f>(D9*D5)+(D17*D13)</f>
        <v>6000000</v>
      </c>
    </row>
    <row r="47" spans="1:9" x14ac:dyDescent="0.25">
      <c r="B47" s="23" t="s">
        <v>3</v>
      </c>
      <c r="D47" s="100">
        <f>(((D5*D12)*D6*D11)*D10)+(((D13*D20)*D14*D19)*D18)</f>
        <v>2284128</v>
      </c>
    </row>
    <row r="48" spans="1:9" x14ac:dyDescent="0.25">
      <c r="A48" s="5">
        <v>3.5000000000000003E-2</v>
      </c>
      <c r="B48" s="23" t="s">
        <v>9</v>
      </c>
      <c r="D48" s="60">
        <f>$A$48*SUM(D42:D47)</f>
        <v>2477444.4800000004</v>
      </c>
    </row>
    <row r="49" spans="1:7" x14ac:dyDescent="0.25">
      <c r="A49" s="5">
        <v>0.02</v>
      </c>
      <c r="B49" s="24" t="s">
        <v>38</v>
      </c>
      <c r="D49" s="61">
        <f>(SUM(D39:D48)*D63+D50)*$A$49</f>
        <v>1079668.5228287999</v>
      </c>
    </row>
    <row r="50" spans="1:7" x14ac:dyDescent="0.25">
      <c r="B50" s="25" t="s">
        <v>4</v>
      </c>
      <c r="D50" s="62">
        <f>SUM(D39:D48)*D63*D56*D57</f>
        <v>6210482.6534399996</v>
      </c>
      <c r="F50" t="s">
        <v>74</v>
      </c>
      <c r="G50" s="40">
        <f>D50+D49+D48+D47+D42</f>
        <v>17051723.656268798</v>
      </c>
    </row>
    <row r="51" spans="1:7" x14ac:dyDescent="0.25">
      <c r="B51" s="26" t="s">
        <v>62</v>
      </c>
      <c r="C51" s="12"/>
      <c r="D51" s="63">
        <f>SUM(D39:D50)</f>
        <v>86911723.656268805</v>
      </c>
      <c r="E51" s="12"/>
      <c r="G51" s="99">
        <f>G50/D51</f>
        <v>0.19619589784811367</v>
      </c>
    </row>
    <row r="52" spans="1:7" ht="15.75" thickBot="1" x14ac:dyDescent="0.3">
      <c r="B52" s="27" t="s">
        <v>8</v>
      </c>
      <c r="C52" s="13"/>
      <c r="D52" s="64">
        <f>IFERROR(D51/SUM(D5,D13),0)</f>
        <v>434.55861828134402</v>
      </c>
      <c r="E52" s="13"/>
    </row>
    <row r="53" spans="1:7" ht="15.75" thickBot="1" x14ac:dyDescent="0.3">
      <c r="B53" s="84" t="s">
        <v>61</v>
      </c>
      <c r="C53" s="14"/>
      <c r="D53" s="81">
        <f>D36/D51</f>
        <v>7.5014045582442568E-2</v>
      </c>
      <c r="E53" s="14"/>
    </row>
    <row r="54" spans="1:7" s="82" customFormat="1" ht="15.75" thickBot="1" x14ac:dyDescent="0.3">
      <c r="C54" s="15"/>
      <c r="D54" s="83"/>
      <c r="E54" s="15"/>
    </row>
    <row r="55" spans="1:7" ht="15.75" thickBot="1" x14ac:dyDescent="0.3">
      <c r="B55" s="28" t="s">
        <v>32</v>
      </c>
      <c r="C55" s="8"/>
      <c r="D55" s="50"/>
      <c r="E55" s="8"/>
    </row>
    <row r="56" spans="1:7" x14ac:dyDescent="0.25">
      <c r="B56" s="29" t="s">
        <v>16</v>
      </c>
      <c r="D56" s="51">
        <v>6.5000000000000002E-2</v>
      </c>
    </row>
    <row r="57" spans="1:7" x14ac:dyDescent="0.25">
      <c r="B57" s="30" t="s">
        <v>17</v>
      </c>
      <c r="D57" s="52">
        <v>2</v>
      </c>
    </row>
    <row r="58" spans="1:7" x14ac:dyDescent="0.25">
      <c r="B58" s="29"/>
      <c r="D58" s="53"/>
    </row>
    <row r="59" spans="1:7" s="38" customFormat="1" x14ac:dyDescent="0.25">
      <c r="B59" s="43" t="s">
        <v>68</v>
      </c>
      <c r="C59" s="44"/>
      <c r="D59" s="80">
        <v>0.06</v>
      </c>
      <c r="E59" s="44"/>
      <c r="F59"/>
    </row>
    <row r="60" spans="1:7" s="7" customFormat="1" x14ac:dyDescent="0.25">
      <c r="B60" s="32" t="s">
        <v>75</v>
      </c>
      <c r="C60" s="10"/>
      <c r="D60" s="104">
        <f>D53-D59</f>
        <v>1.501404558244257E-2</v>
      </c>
      <c r="E60" s="10"/>
    </row>
    <row r="61" spans="1:7" s="7" customFormat="1" x14ac:dyDescent="0.25">
      <c r="B61" s="32" t="s">
        <v>69</v>
      </c>
      <c r="C61" s="10"/>
      <c r="D61" s="54">
        <f>D36/D59</f>
        <v>108660000</v>
      </c>
      <c r="E61" s="10"/>
    </row>
    <row r="62" spans="1:7" s="8" customFormat="1" ht="15.75" thickBot="1" x14ac:dyDescent="0.3">
      <c r="B62" s="33" t="s">
        <v>34</v>
      </c>
      <c r="C62" s="13"/>
      <c r="D62" s="49">
        <f>IFERROR(D61/SUM(D5,D13),0)</f>
        <v>543.29999999999995</v>
      </c>
      <c r="E62" s="13"/>
    </row>
    <row r="63" spans="1:7" s="7" customFormat="1" x14ac:dyDescent="0.25">
      <c r="B63" s="46" t="s">
        <v>58</v>
      </c>
      <c r="C63" s="10"/>
      <c r="D63" s="55">
        <v>0.6</v>
      </c>
      <c r="E63" s="10"/>
    </row>
    <row r="64" spans="1:7" ht="15.75" thickBot="1" x14ac:dyDescent="0.3">
      <c r="B64" s="31" t="s">
        <v>35</v>
      </c>
      <c r="D64" s="56">
        <f>+D63*D51</f>
        <v>52147034.193761282</v>
      </c>
    </row>
    <row r="65" spans="1:5" s="7" customFormat="1" ht="15.75" thickBot="1" x14ac:dyDescent="0.3">
      <c r="A65" s="5"/>
      <c r="B65" s="47" t="s">
        <v>65</v>
      </c>
      <c r="C65" s="45"/>
      <c r="D65" s="85">
        <f>D36/D64</f>
        <v>0.12502340930407094</v>
      </c>
      <c r="E65" s="45"/>
    </row>
    <row r="66" spans="1:5" x14ac:dyDescent="0.25">
      <c r="D66" s="2"/>
    </row>
    <row r="67" spans="1:5" ht="15.75" hidden="1" thickBot="1" x14ac:dyDescent="0.3">
      <c r="B67" s="86" t="s">
        <v>70</v>
      </c>
      <c r="C67" s="8"/>
      <c r="D67" s="91"/>
      <c r="E67" s="8"/>
    </row>
    <row r="68" spans="1:5" s="9" customFormat="1" hidden="1" x14ac:dyDescent="0.25">
      <c r="B68" s="87" t="s">
        <v>56</v>
      </c>
      <c r="C68" s="10"/>
      <c r="D68" s="92"/>
      <c r="E68" s="10"/>
    </row>
    <row r="69" spans="1:5" s="7" customFormat="1" hidden="1" x14ac:dyDescent="0.25">
      <c r="B69" s="88" t="s">
        <v>33</v>
      </c>
      <c r="C69" s="10"/>
      <c r="D69" s="93">
        <v>0.1</v>
      </c>
      <c r="E69" s="10"/>
    </row>
    <row r="70" spans="1:5" s="7" customFormat="1" hidden="1" x14ac:dyDescent="0.25">
      <c r="B70" s="88" t="s">
        <v>45</v>
      </c>
      <c r="C70" s="10"/>
      <c r="D70" s="93">
        <v>0.65</v>
      </c>
      <c r="E70" s="10"/>
    </row>
    <row r="71" spans="1:5" s="7" customFormat="1" hidden="1" x14ac:dyDescent="0.25">
      <c r="B71" s="87" t="s">
        <v>36</v>
      </c>
      <c r="C71" s="10"/>
      <c r="D71" s="94">
        <f>MIN(D36/D69,D70*D61)</f>
        <v>65196000</v>
      </c>
      <c r="E71" s="10"/>
    </row>
    <row r="72" spans="1:5" s="7" customFormat="1" hidden="1" x14ac:dyDescent="0.25">
      <c r="B72" s="89" t="s">
        <v>63</v>
      </c>
      <c r="C72" s="13"/>
      <c r="D72" s="95">
        <f>D71/D61</f>
        <v>0.6</v>
      </c>
      <c r="E72" s="13"/>
    </row>
    <row r="73" spans="1:5" s="1" customFormat="1" hidden="1" x14ac:dyDescent="0.25">
      <c r="B73" s="90" t="s">
        <v>64</v>
      </c>
      <c r="C73" s="10"/>
      <c r="D73" s="96">
        <f>D71-D64</f>
        <v>13048965.806238718</v>
      </c>
      <c r="E73" s="10"/>
    </row>
    <row r="74" spans="1:5" s="7" customFormat="1" x14ac:dyDescent="0.25"/>
    <row r="75" spans="1:5" x14ac:dyDescent="0.25">
      <c r="D75" s="2"/>
    </row>
    <row r="76" spans="1:5" x14ac:dyDescent="0.25">
      <c r="D76" s="40"/>
    </row>
    <row r="77" spans="1:5" x14ac:dyDescent="0.25">
      <c r="D77" s="38"/>
    </row>
    <row r="78" spans="1:5" x14ac:dyDescent="0.25">
      <c r="D78" s="2"/>
    </row>
    <row r="79" spans="1:5" x14ac:dyDescent="0.25">
      <c r="D79" s="39"/>
    </row>
  </sheetData>
  <conditionalFormatting sqref="D65">
    <cfRule type="cellIs" dxfId="5" priority="3" operator="greaterThan">
      <formula>0.12</formula>
    </cfRule>
  </conditionalFormatting>
  <conditionalFormatting sqref="D60">
    <cfRule type="cellIs" dxfId="4" priority="2" operator="greaterThan">
      <formula>0.015</formula>
    </cfRule>
    <cfRule type="cellIs" dxfId="3" priority="1" operator="lessThan">
      <formula>0.015</formula>
    </cfRule>
  </conditionalFormatting>
  <dataValidations disablePrompts="1" count="1">
    <dataValidation type="list" allowBlank="1" showInputMessage="1" showErrorMessage="1" sqref="D1:D3">
      <formula1>"Yes,No"</formula1>
    </dataValidation>
  </dataValidations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showGridLines="0" topLeftCell="A50" zoomScaleNormal="100" workbookViewId="0">
      <selection activeCell="J55" sqref="J55"/>
    </sheetView>
  </sheetViews>
  <sheetFormatPr defaultRowHeight="15" x14ac:dyDescent="0.25"/>
  <cols>
    <col min="1" max="1" width="6.140625" bestFit="1" customWidth="1"/>
    <col min="2" max="2" width="45.28515625" customWidth="1"/>
    <col min="3" max="3" width="2" customWidth="1"/>
    <col min="4" max="4" width="25.7109375" customWidth="1"/>
    <col min="5" max="5" width="2" customWidth="1"/>
    <col min="6" max="6" width="13.85546875" customWidth="1"/>
    <col min="7" max="7" width="10.42578125" bestFit="1" customWidth="1"/>
    <col min="9" max="9" width="10.5703125" customWidth="1"/>
    <col min="11" max="11" width="11.85546875" customWidth="1"/>
  </cols>
  <sheetData>
    <row r="1" spans="2:11" x14ac:dyDescent="0.25">
      <c r="B1" s="1" t="s">
        <v>72</v>
      </c>
      <c r="C1" s="1"/>
      <c r="D1" s="6"/>
      <c r="E1" s="1"/>
    </row>
    <row r="2" spans="2:11" x14ac:dyDescent="0.25">
      <c r="B2" s="97">
        <f ca="1">TODAY()</f>
        <v>44085</v>
      </c>
      <c r="C2" s="1"/>
      <c r="D2" s="6"/>
      <c r="E2" s="1"/>
    </row>
    <row r="3" spans="2:11" ht="15.75" thickBot="1" x14ac:dyDescent="0.3">
      <c r="B3" s="97"/>
      <c r="C3" s="1"/>
      <c r="D3" s="6"/>
      <c r="E3" s="1"/>
    </row>
    <row r="4" spans="2:11" ht="15.75" thickBot="1" x14ac:dyDescent="0.3">
      <c r="B4" s="16" t="s">
        <v>44</v>
      </c>
      <c r="C4" s="111"/>
      <c r="D4" s="65"/>
      <c r="E4" s="111"/>
    </row>
    <row r="5" spans="2:11" x14ac:dyDescent="0.25">
      <c r="B5" s="17" t="s">
        <v>23</v>
      </c>
      <c r="D5" s="66">
        <v>200000</v>
      </c>
    </row>
    <row r="6" spans="2:11" x14ac:dyDescent="0.25">
      <c r="B6" s="18" t="s">
        <v>15</v>
      </c>
      <c r="D6" s="67">
        <f>45.3</f>
        <v>45.3</v>
      </c>
      <c r="F6" t="s">
        <v>86</v>
      </c>
      <c r="K6" s="38">
        <f>(D6-36.5)/36.5</f>
        <v>0.24109589041095883</v>
      </c>
    </row>
    <row r="7" spans="2:11" x14ac:dyDescent="0.25">
      <c r="B7" s="18" t="s">
        <v>10</v>
      </c>
      <c r="D7" s="67">
        <v>10</v>
      </c>
    </row>
    <row r="8" spans="2:11" x14ac:dyDescent="0.25">
      <c r="B8" s="18" t="s">
        <v>11</v>
      </c>
      <c r="D8" s="68">
        <f t="shared" ref="D8" si="0">D6-D7</f>
        <v>35.299999999999997</v>
      </c>
    </row>
    <row r="9" spans="2:11" x14ac:dyDescent="0.25">
      <c r="B9" s="18" t="s">
        <v>12</v>
      </c>
      <c r="D9" s="69">
        <v>125</v>
      </c>
      <c r="F9" t="s">
        <v>78</v>
      </c>
    </row>
    <row r="10" spans="2:11" x14ac:dyDescent="0.25">
      <c r="B10" s="18" t="s">
        <v>13</v>
      </c>
      <c r="D10" s="70">
        <v>0.06</v>
      </c>
      <c r="F10" t="s">
        <v>79</v>
      </c>
    </row>
    <row r="11" spans="2:11" x14ac:dyDescent="0.25">
      <c r="B11" s="18" t="s">
        <v>48</v>
      </c>
      <c r="D11" s="101">
        <v>7</v>
      </c>
    </row>
    <row r="12" spans="2:11" ht="15.75" thickBot="1" x14ac:dyDescent="0.3">
      <c r="B12" s="36" t="s">
        <v>14</v>
      </c>
      <c r="D12" s="71">
        <v>0.9</v>
      </c>
      <c r="F12" t="s">
        <v>80</v>
      </c>
    </row>
    <row r="13" spans="2:11" x14ac:dyDescent="0.25">
      <c r="B13" s="34" t="s">
        <v>24</v>
      </c>
      <c r="D13" s="72">
        <v>0</v>
      </c>
    </row>
    <row r="14" spans="2:11" x14ac:dyDescent="0.25">
      <c r="B14" s="18" t="s">
        <v>26</v>
      </c>
      <c r="D14" s="67">
        <v>25</v>
      </c>
    </row>
    <row r="15" spans="2:11" x14ac:dyDescent="0.25">
      <c r="B15" s="18" t="s">
        <v>18</v>
      </c>
      <c r="D15" s="73"/>
    </row>
    <row r="16" spans="2:11" x14ac:dyDescent="0.25">
      <c r="B16" s="18" t="s">
        <v>19</v>
      </c>
      <c r="D16" s="68">
        <f t="shared" ref="D16" si="1">D14-D15</f>
        <v>25</v>
      </c>
    </row>
    <row r="17" spans="2:4" x14ac:dyDescent="0.25">
      <c r="B17" s="18" t="s">
        <v>20</v>
      </c>
      <c r="D17" s="69">
        <v>100</v>
      </c>
    </row>
    <row r="18" spans="2:4" x14ac:dyDescent="0.25">
      <c r="B18" s="18" t="s">
        <v>21</v>
      </c>
      <c r="D18" s="70">
        <v>0.06</v>
      </c>
    </row>
    <row r="19" spans="2:4" x14ac:dyDescent="0.25">
      <c r="B19" s="18" t="s">
        <v>47</v>
      </c>
      <c r="D19" s="69">
        <v>7</v>
      </c>
    </row>
    <row r="20" spans="2:4" ht="15.75" thickBot="1" x14ac:dyDescent="0.3">
      <c r="B20" s="36" t="s">
        <v>22</v>
      </c>
      <c r="D20" s="71">
        <v>0.9</v>
      </c>
    </row>
    <row r="21" spans="2:4" ht="15.75" hidden="1" thickBot="1" x14ac:dyDescent="0.3">
      <c r="B21" s="34" t="s">
        <v>39</v>
      </c>
      <c r="D21" s="72">
        <v>0</v>
      </c>
    </row>
    <row r="22" spans="2:4" ht="15.75" hidden="1" thickBot="1" x14ac:dyDescent="0.3">
      <c r="B22" s="18" t="s">
        <v>46</v>
      </c>
      <c r="D22" s="67">
        <v>0</v>
      </c>
    </row>
    <row r="23" spans="2:4" ht="15.75" hidden="1" thickBot="1" x14ac:dyDescent="0.3">
      <c r="B23" s="18" t="s">
        <v>40</v>
      </c>
      <c r="D23" s="67">
        <f t="shared" ref="D23" si="2">D22*30%</f>
        <v>0</v>
      </c>
    </row>
    <row r="24" spans="2:4" ht="15.75" hidden="1" thickBot="1" x14ac:dyDescent="0.3">
      <c r="B24" s="18" t="s">
        <v>41</v>
      </c>
      <c r="D24" s="68">
        <f t="shared" ref="D24" si="3">D22-D23</f>
        <v>0</v>
      </c>
    </row>
    <row r="25" spans="2:4" ht="15.75" hidden="1" thickBot="1" x14ac:dyDescent="0.3">
      <c r="B25" s="36" t="s">
        <v>42</v>
      </c>
      <c r="D25" s="71">
        <v>0</v>
      </c>
    </row>
    <row r="26" spans="2:4" x14ac:dyDescent="0.25">
      <c r="B26" s="34" t="s">
        <v>25</v>
      </c>
      <c r="D26" s="72">
        <v>200</v>
      </c>
    </row>
    <row r="27" spans="2:4" x14ac:dyDescent="0.25">
      <c r="B27" s="18" t="s">
        <v>27</v>
      </c>
      <c r="D27" s="98">
        <v>0</v>
      </c>
    </row>
    <row r="28" spans="2:4" x14ac:dyDescent="0.25">
      <c r="B28" s="18" t="s">
        <v>28</v>
      </c>
      <c r="D28" s="67">
        <v>25</v>
      </c>
    </row>
    <row r="29" spans="2:4" x14ac:dyDescent="0.25">
      <c r="B29" s="18" t="s">
        <v>29</v>
      </c>
      <c r="D29" s="68">
        <f>D27-D28</f>
        <v>-25</v>
      </c>
    </row>
    <row r="30" spans="2:4" x14ac:dyDescent="0.25">
      <c r="B30" s="112" t="s">
        <v>49</v>
      </c>
      <c r="D30" s="74">
        <v>0</v>
      </c>
    </row>
    <row r="31" spans="2:4" ht="15.75" thickBot="1" x14ac:dyDescent="0.3">
      <c r="B31" s="36" t="s">
        <v>30</v>
      </c>
      <c r="D31" s="71">
        <v>0.9</v>
      </c>
    </row>
    <row r="32" spans="2:4" x14ac:dyDescent="0.25">
      <c r="B32" s="37" t="s">
        <v>5</v>
      </c>
      <c r="D32" s="75">
        <f t="shared" ref="D32" si="4">(D5*D8)*D12</f>
        <v>6353999.9999999991</v>
      </c>
    </row>
    <row r="33" spans="2:12" x14ac:dyDescent="0.25">
      <c r="B33" s="18" t="s">
        <v>6</v>
      </c>
      <c r="D33" s="76">
        <f t="shared" ref="D33" si="5">(D13*D16)*D20</f>
        <v>0</v>
      </c>
    </row>
    <row r="34" spans="2:12" hidden="1" x14ac:dyDescent="0.25">
      <c r="B34" s="18" t="s">
        <v>43</v>
      </c>
      <c r="D34" s="76">
        <f t="shared" ref="D34" si="6">(D21*D24)*D25</f>
        <v>0</v>
      </c>
    </row>
    <row r="35" spans="2:12" ht="15.75" thickBot="1" x14ac:dyDescent="0.3">
      <c r="B35" s="36" t="s">
        <v>50</v>
      </c>
      <c r="D35" s="77">
        <f>D30+((D29*D26)*12)*D31</f>
        <v>-54000</v>
      </c>
      <c r="K35" t="s">
        <v>94</v>
      </c>
    </row>
    <row r="36" spans="2:12" ht="15.75" thickBot="1" x14ac:dyDescent="0.3">
      <c r="B36" s="20" t="s">
        <v>7</v>
      </c>
      <c r="C36" s="113"/>
      <c r="D36" s="78">
        <f>SUM(D32:D35)</f>
        <v>6299999.9999999991</v>
      </c>
      <c r="E36" s="113"/>
      <c r="K36" s="40">
        <f>NCG!D36-Grubb!D36</f>
        <v>219600.00000000093</v>
      </c>
    </row>
    <row r="37" spans="2:12" ht="15.75" thickBot="1" x14ac:dyDescent="0.3">
      <c r="D37" s="2"/>
      <c r="G37" t="s">
        <v>84</v>
      </c>
      <c r="K37" s="40"/>
    </row>
    <row r="38" spans="2:12" ht="15.75" thickBot="1" x14ac:dyDescent="0.3">
      <c r="B38" s="21" t="s">
        <v>31</v>
      </c>
      <c r="C38" s="1"/>
      <c r="D38" s="57"/>
      <c r="E38" s="1"/>
      <c r="G38" t="s">
        <v>81</v>
      </c>
      <c r="H38" s="105">
        <f>200000*0.75</f>
        <v>150000</v>
      </c>
      <c r="I38" s="106">
        <v>220</v>
      </c>
      <c r="K38" s="40"/>
    </row>
    <row r="39" spans="2:12" x14ac:dyDescent="0.25">
      <c r="B39" s="22" t="s">
        <v>0</v>
      </c>
      <c r="D39" s="58">
        <v>6360000</v>
      </c>
      <c r="F39" s="110">
        <f>D39/D5</f>
        <v>31.8</v>
      </c>
      <c r="G39" t="s">
        <v>82</v>
      </c>
      <c r="H39" s="105">
        <f>200000-H38</f>
        <v>50000</v>
      </c>
      <c r="I39" s="106">
        <v>250</v>
      </c>
      <c r="K39" s="40"/>
    </row>
    <row r="40" spans="2:12" x14ac:dyDescent="0.25">
      <c r="B40" s="48" t="s">
        <v>57</v>
      </c>
      <c r="D40" s="59"/>
      <c r="G40" s="107" t="s">
        <v>83</v>
      </c>
      <c r="H40" s="107">
        <v>200</v>
      </c>
      <c r="I40" s="108">
        <v>22500</v>
      </c>
      <c r="K40" s="40"/>
    </row>
    <row r="41" spans="2:12" x14ac:dyDescent="0.25">
      <c r="B41" s="23" t="s">
        <v>87</v>
      </c>
      <c r="D41" s="100">
        <v>1400000</v>
      </c>
      <c r="I41" s="109">
        <f>SUMPRODUCT(H38:H40,I38:I40)</f>
        <v>50000000</v>
      </c>
      <c r="K41" s="40">
        <f>NCG!D41-Grubb!D41</f>
        <v>-1400000</v>
      </c>
    </row>
    <row r="42" spans="2:12" x14ac:dyDescent="0.25">
      <c r="B42" s="23" t="s">
        <v>76</v>
      </c>
      <c r="D42" s="59">
        <v>7000000</v>
      </c>
      <c r="K42" s="40">
        <f>NCG!D42-Grubb!D42</f>
        <v>-2000000</v>
      </c>
    </row>
    <row r="43" spans="2:12" x14ac:dyDescent="0.25">
      <c r="B43" s="23" t="s">
        <v>1</v>
      </c>
      <c r="D43" s="59">
        <f>I41</f>
        <v>50000000</v>
      </c>
      <c r="K43" s="40">
        <f>NCG!D43-Grubb!D43</f>
        <v>6500000</v>
      </c>
    </row>
    <row r="44" spans="2:12" x14ac:dyDescent="0.25">
      <c r="B44" s="103" t="s">
        <v>77</v>
      </c>
      <c r="D44" s="79">
        <v>0</v>
      </c>
      <c r="K44" s="40"/>
    </row>
    <row r="45" spans="2:12" x14ac:dyDescent="0.25">
      <c r="B45" s="23" t="s">
        <v>73</v>
      </c>
      <c r="D45" s="59" t="s">
        <v>88</v>
      </c>
      <c r="K45" s="40"/>
    </row>
    <row r="46" spans="2:12" x14ac:dyDescent="0.25">
      <c r="B46" s="23" t="s">
        <v>2</v>
      </c>
      <c r="D46" s="100">
        <f>(D9*D5)+(D17*D13)</f>
        <v>25000000</v>
      </c>
      <c r="K46" s="40">
        <f>NCG!D46-Grubb!D46</f>
        <v>-19000000</v>
      </c>
      <c r="L46" t="s">
        <v>95</v>
      </c>
    </row>
    <row r="47" spans="2:12" x14ac:dyDescent="0.25">
      <c r="B47" s="23" t="s">
        <v>89</v>
      </c>
      <c r="D47" s="100">
        <v>2850000</v>
      </c>
      <c r="K47" s="40">
        <f>0-D47</f>
        <v>-2850000</v>
      </c>
    </row>
    <row r="48" spans="2:12" x14ac:dyDescent="0.25">
      <c r="B48" s="23" t="s">
        <v>3</v>
      </c>
      <c r="D48" s="100">
        <f>(((D5*D12)*D6*D11)*D10)+(((D13*D20)*D14*D19)*D18)</f>
        <v>3424679.9999999995</v>
      </c>
      <c r="F48">
        <v>6480000</v>
      </c>
      <c r="G48" t="s">
        <v>90</v>
      </c>
      <c r="K48" s="40">
        <f>NCG!D47-Grubb!D48</f>
        <v>-1140551.9999999995</v>
      </c>
      <c r="L48" t="s">
        <v>95</v>
      </c>
    </row>
    <row r="49" spans="1:12" x14ac:dyDescent="0.25">
      <c r="A49" s="5">
        <v>3.4599999999999999E-2</v>
      </c>
      <c r="B49" s="23" t="s">
        <v>9</v>
      </c>
      <c r="D49" s="60">
        <f>$A$49*SUM(D42:D48)</f>
        <v>3054303.9279999998</v>
      </c>
      <c r="F49" s="40">
        <f>SUM(D48:D49)</f>
        <v>6478983.9279999994</v>
      </c>
      <c r="G49" t="s">
        <v>91</v>
      </c>
      <c r="K49" s="40">
        <f>NCG!D48-Grubb!D49</f>
        <v>-576859.44799999939</v>
      </c>
    </row>
    <row r="50" spans="1:12" x14ac:dyDescent="0.25">
      <c r="A50" s="5">
        <v>1.4999999999999999E-2</v>
      </c>
      <c r="B50" s="24" t="s">
        <v>38</v>
      </c>
      <c r="D50" s="61">
        <f>(SUM(D39:D49)*D64+D51)*$A$50</f>
        <v>952485.67405656516</v>
      </c>
      <c r="K50" s="40">
        <f>NCG!D49-Grubb!D50</f>
        <v>127182.84877223475</v>
      </c>
    </row>
    <row r="51" spans="1:12" x14ac:dyDescent="0.25">
      <c r="B51" s="25" t="s">
        <v>4</v>
      </c>
      <c r="D51" s="62">
        <f>SUM(D39:D49)*D64*D57*D58</f>
        <v>4045654.5803043479</v>
      </c>
      <c r="F51" s="40">
        <f>D51+D50</f>
        <v>4998140.2543609133</v>
      </c>
      <c r="G51" t="s">
        <v>92</v>
      </c>
      <c r="H51" t="s">
        <v>74</v>
      </c>
      <c r="I51" s="40">
        <f>D51+D50+D49+D48+D42</f>
        <v>18477124.182360914</v>
      </c>
      <c r="K51" s="40">
        <f>NCG!D50-Grubb!D51</f>
        <v>2164828.0731356516</v>
      </c>
    </row>
    <row r="52" spans="1:12" x14ac:dyDescent="0.25">
      <c r="B52" s="26" t="s">
        <v>62</v>
      </c>
      <c r="C52" s="114"/>
      <c r="D52" s="63">
        <f>SUM(D39:D51)</f>
        <v>104087124.18236092</v>
      </c>
      <c r="E52" s="114"/>
      <c r="F52">
        <v>5000000</v>
      </c>
      <c r="G52" t="s">
        <v>90</v>
      </c>
      <c r="I52" s="99">
        <f>I51/D52</f>
        <v>0.17751594471943469</v>
      </c>
      <c r="K52" s="40">
        <f>NCG!D51-Grubb!D52</f>
        <v>-17175400.526092112</v>
      </c>
    </row>
    <row r="53" spans="1:12" ht="15.75" thickBot="1" x14ac:dyDescent="0.3">
      <c r="B53" s="27" t="s">
        <v>8</v>
      </c>
      <c r="C53" s="115"/>
      <c r="D53" s="64">
        <f>IFERROR(D52/SUM(D5,D13),0)</f>
        <v>520.43562091180456</v>
      </c>
      <c r="E53" s="115"/>
      <c r="K53" s="40">
        <f>NCG!D52-Grubb!D53</f>
        <v>-85.877002630460538</v>
      </c>
    </row>
    <row r="54" spans="1:12" ht="15.75" thickBot="1" x14ac:dyDescent="0.3">
      <c r="B54" s="84" t="s">
        <v>61</v>
      </c>
      <c r="C54" s="116"/>
      <c r="D54" s="81">
        <f>D36/D52</f>
        <v>6.0526218295380921E-2</v>
      </c>
      <c r="E54" s="116"/>
      <c r="F54">
        <v>6.05</v>
      </c>
      <c r="G54" t="s">
        <v>93</v>
      </c>
      <c r="L54" t="s">
        <v>96</v>
      </c>
    </row>
    <row r="55" spans="1:12" s="82" customFormat="1" ht="15.75" thickBot="1" x14ac:dyDescent="0.3">
      <c r="D55" s="83"/>
    </row>
    <row r="56" spans="1:12" ht="15.75" thickBot="1" x14ac:dyDescent="0.3">
      <c r="B56" s="28" t="s">
        <v>32</v>
      </c>
      <c r="C56" s="1"/>
      <c r="D56" s="50"/>
      <c r="E56" s="1"/>
    </row>
    <row r="57" spans="1:12" x14ac:dyDescent="0.25">
      <c r="B57" s="117" t="s">
        <v>16</v>
      </c>
      <c r="D57" s="51">
        <v>0.06</v>
      </c>
    </row>
    <row r="58" spans="1:12" x14ac:dyDescent="0.25">
      <c r="B58" s="118" t="s">
        <v>17</v>
      </c>
      <c r="D58" s="52">
        <v>1.134125</v>
      </c>
    </row>
    <row r="59" spans="1:12" x14ac:dyDescent="0.25">
      <c r="B59" s="117"/>
      <c r="D59" s="53"/>
    </row>
    <row r="60" spans="1:12" s="38" customFormat="1" x14ac:dyDescent="0.25">
      <c r="B60" s="43" t="s">
        <v>68</v>
      </c>
      <c r="C60" s="44"/>
      <c r="D60" s="80">
        <v>5.5E-2</v>
      </c>
      <c r="E60" s="44"/>
      <c r="F60"/>
    </row>
    <row r="61" spans="1:12" s="1" customFormat="1" x14ac:dyDescent="0.25">
      <c r="B61" s="23" t="s">
        <v>75</v>
      </c>
      <c r="C61"/>
      <c r="D61" s="104">
        <f>D54-D60</f>
        <v>5.5262182953809205E-3</v>
      </c>
      <c r="E61"/>
    </row>
    <row r="62" spans="1:12" s="1" customFormat="1" x14ac:dyDescent="0.25">
      <c r="B62" s="23" t="s">
        <v>69</v>
      </c>
      <c r="C62"/>
      <c r="D62" s="119">
        <f>D36/D60</f>
        <v>114545454.54545453</v>
      </c>
      <c r="E62"/>
    </row>
    <row r="63" spans="1:12" s="1" customFormat="1" ht="15.75" thickBot="1" x14ac:dyDescent="0.3">
      <c r="B63" s="33" t="s">
        <v>34</v>
      </c>
      <c r="C63" s="115"/>
      <c r="D63" s="120">
        <f>IFERROR(D62/SUM(D5,D13),0)</f>
        <v>572.72727272727263</v>
      </c>
      <c r="E63" s="115"/>
    </row>
    <row r="64" spans="1:12" s="1" customFormat="1" x14ac:dyDescent="0.25">
      <c r="B64" s="121" t="s">
        <v>58</v>
      </c>
      <c r="C64"/>
      <c r="D64" s="53">
        <v>0.6</v>
      </c>
      <c r="E64"/>
    </row>
    <row r="65" spans="1:5" ht="15.75" thickBot="1" x14ac:dyDescent="0.3">
      <c r="B65" s="31" t="s">
        <v>35</v>
      </c>
      <c r="D65" s="56">
        <f>+D64*D52</f>
        <v>62452274.50941655</v>
      </c>
    </row>
    <row r="66" spans="1:5" s="1" customFormat="1" ht="15.75" thickBot="1" x14ac:dyDescent="0.3">
      <c r="A66" s="5"/>
      <c r="B66" s="122" t="s">
        <v>65</v>
      </c>
      <c r="C66" s="123"/>
      <c r="D66" s="85">
        <f>D36/D65</f>
        <v>0.10087703049230153</v>
      </c>
      <c r="E66" s="123"/>
    </row>
    <row r="67" spans="1:5" x14ac:dyDescent="0.25">
      <c r="D67" s="2"/>
    </row>
    <row r="68" spans="1:5" ht="15.75" hidden="1" thickBot="1" x14ac:dyDescent="0.3">
      <c r="B68" s="124" t="s">
        <v>70</v>
      </c>
      <c r="C68" s="1"/>
      <c r="D68" s="91"/>
      <c r="E68" s="1"/>
    </row>
    <row r="69" spans="1:5" s="1" customFormat="1" hidden="1" x14ac:dyDescent="0.25">
      <c r="B69" s="125" t="s">
        <v>56</v>
      </c>
      <c r="C69"/>
      <c r="D69" s="126"/>
      <c r="E69"/>
    </row>
    <row r="70" spans="1:5" s="1" customFormat="1" hidden="1" x14ac:dyDescent="0.25">
      <c r="B70" s="127" t="s">
        <v>33</v>
      </c>
      <c r="C70"/>
      <c r="D70" s="128">
        <v>0.1</v>
      </c>
      <c r="E70"/>
    </row>
    <row r="71" spans="1:5" s="1" customFormat="1" hidden="1" x14ac:dyDescent="0.25">
      <c r="B71" s="127" t="s">
        <v>45</v>
      </c>
      <c r="C71"/>
      <c r="D71" s="128">
        <v>0.65</v>
      </c>
      <c r="E71"/>
    </row>
    <row r="72" spans="1:5" s="1" customFormat="1" hidden="1" x14ac:dyDescent="0.25">
      <c r="B72" s="125" t="s">
        <v>36</v>
      </c>
      <c r="C72"/>
      <c r="D72" s="129">
        <f>MIN(D36/D70,D71*D62)</f>
        <v>62999999.999999985</v>
      </c>
      <c r="E72"/>
    </row>
    <row r="73" spans="1:5" s="1" customFormat="1" hidden="1" x14ac:dyDescent="0.25">
      <c r="B73" s="89" t="s">
        <v>63</v>
      </c>
      <c r="C73" s="115"/>
      <c r="D73" s="130">
        <f>D72/D62</f>
        <v>0.54999999999999993</v>
      </c>
      <c r="E73" s="115"/>
    </row>
    <row r="74" spans="1:5" s="1" customFormat="1" hidden="1" x14ac:dyDescent="0.25">
      <c r="B74" s="131" t="s">
        <v>64</v>
      </c>
      <c r="C74"/>
      <c r="D74" s="132">
        <f>D72-D65</f>
        <v>547725.4905834347</v>
      </c>
      <c r="E74"/>
    </row>
    <row r="75" spans="1:5" s="1" customFormat="1" x14ac:dyDescent="0.25"/>
    <row r="76" spans="1:5" x14ac:dyDescent="0.25">
      <c r="D76" s="2"/>
    </row>
    <row r="77" spans="1:5" x14ac:dyDescent="0.25">
      <c r="D77" s="40"/>
    </row>
    <row r="78" spans="1:5" x14ac:dyDescent="0.25">
      <c r="D78" s="38"/>
    </row>
    <row r="79" spans="1:5" x14ac:dyDescent="0.25">
      <c r="D79" s="2"/>
    </row>
    <row r="80" spans="1:5" x14ac:dyDescent="0.25">
      <c r="D80" s="39"/>
    </row>
  </sheetData>
  <conditionalFormatting sqref="D66">
    <cfRule type="cellIs" dxfId="2" priority="3" operator="greaterThan">
      <formula>0.12</formula>
    </cfRule>
  </conditionalFormatting>
  <conditionalFormatting sqref="D61">
    <cfRule type="cellIs" dxfId="1" priority="1" operator="lessThan">
      <formula>0.015</formula>
    </cfRule>
    <cfRule type="cellIs" dxfId="0" priority="2" operator="greaterThan">
      <formula>0.015</formula>
    </cfRule>
  </conditionalFormatting>
  <dataValidations count="1">
    <dataValidation type="list" allowBlank="1" showInputMessage="1" showErrorMessage="1" sqref="D1:D3">
      <formula1>"Yes,No"</formula1>
    </dataValidation>
  </dataValidation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showGridLines="0" workbookViewId="0">
      <selection activeCell="B11" sqref="B11"/>
    </sheetView>
  </sheetViews>
  <sheetFormatPr defaultRowHeight="15" x14ac:dyDescent="0.25"/>
  <cols>
    <col min="2" max="2" width="80.140625" bestFit="1" customWidth="1"/>
  </cols>
  <sheetData>
    <row r="2" spans="2:2" x14ac:dyDescent="0.25">
      <c r="B2" s="42" t="s">
        <v>51</v>
      </c>
    </row>
    <row r="3" spans="2:2" x14ac:dyDescent="0.25">
      <c r="B3" t="s">
        <v>59</v>
      </c>
    </row>
    <row r="4" spans="2:2" x14ac:dyDescent="0.25">
      <c r="B4" t="s">
        <v>60</v>
      </c>
    </row>
    <row r="5" spans="2:2" x14ac:dyDescent="0.25">
      <c r="B5" t="s">
        <v>85</v>
      </c>
    </row>
    <row r="6" spans="2:2" x14ac:dyDescent="0.25">
      <c r="B6" t="s">
        <v>54</v>
      </c>
    </row>
    <row r="7" spans="2:2" x14ac:dyDescent="0.25">
      <c r="B7" t="s">
        <v>66</v>
      </c>
    </row>
    <row r="8" spans="2:2" x14ac:dyDescent="0.25">
      <c r="B8" t="s">
        <v>55</v>
      </c>
    </row>
    <row r="9" spans="2:2" x14ac:dyDescent="0.25">
      <c r="B9" t="s">
        <v>71</v>
      </c>
    </row>
    <row r="11" spans="2:2" x14ac:dyDescent="0.25">
      <c r="B11" s="42" t="s">
        <v>67</v>
      </c>
    </row>
    <row r="12" spans="2:2" x14ac:dyDescent="0.25">
      <c r="B12" t="s">
        <v>52</v>
      </c>
    </row>
    <row r="13" spans="2:2" x14ac:dyDescent="0.25">
      <c r="B13" t="s">
        <v>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NCG</vt:lpstr>
      <vt:lpstr>Grubb</vt:lpstr>
      <vt:lpstr>Lender Requirements</vt:lpstr>
      <vt:lpstr>Grubb!Print_Area</vt:lpstr>
      <vt:lpstr>NCG!Print_Area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Hicks</dc:creator>
  <cp:lastModifiedBy>Dwight Bassett</cp:lastModifiedBy>
  <cp:lastPrinted>2019-06-13T18:51:09Z</cp:lastPrinted>
  <dcterms:created xsi:type="dcterms:W3CDTF">2019-03-15T12:16:30Z</dcterms:created>
  <dcterms:modified xsi:type="dcterms:W3CDTF">2020-09-11T19:20:46Z</dcterms:modified>
</cp:coreProperties>
</file>