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65" windowWidth="11295" windowHeight="5790" tabRatio="809" firstSheet="1" activeTab="7"/>
  </bookViews>
  <sheets>
    <sheet name="Instructions" sheetId="33" r:id="rId1"/>
    <sheet name="Prelim Development Assumptions" sheetId="22" r:id="rId2"/>
    <sheet name="Square Footage Values" sheetId="19" r:id="rId3"/>
    <sheet name="Tax Calculation" sheetId="23" r:id="rId4"/>
    <sheet name="Vehicle Tax" sheetId="25" r:id="rId5"/>
    <sheet name="Town Tax Breakout" sheetId="28" r:id="rId6"/>
    <sheet name="Stormwater" sheetId="16" r:id="rId7"/>
    <sheet name="Sales Tax" sheetId="11" r:id="rId8"/>
    <sheet name="Population Assumptions" sheetId="3" r:id="rId9"/>
    <sheet name="Permit Revenue_Cost" sheetId="12" r:id="rId10"/>
    <sheet name="Public Safety Costs" sheetId="4" r:id="rId11"/>
    <sheet name="Leisure Costs" sheetId="30" r:id="rId12"/>
    <sheet name="Departmental Costs" sheetId="5" r:id="rId13"/>
    <sheet name="Schools" sheetId="6" r:id="rId14"/>
    <sheet name="Revenue SUMMARY" sheetId="26" r:id="rId15"/>
    <sheet name="Revenue and Cost Comp" sheetId="31" r:id="rId16"/>
    <sheet name="Per-capita Cost of Services" sheetId="27" r:id="rId17"/>
    <sheet name="Graphs" sheetId="32" r:id="rId18"/>
  </sheets>
  <definedNames>
    <definedName name="_xlnm.Print_Area" localSheetId="12">'Departmental Costs'!$C$2:$F$39</definedName>
    <definedName name="_xlnm.Print_Area" localSheetId="11">'Leisure Costs'!$C$2:$E$22</definedName>
    <definedName name="_xlnm.Print_Area" localSheetId="16">'Per-capita Cost of Services'!$A$1:$G$56</definedName>
    <definedName name="_xlnm.Print_Area" localSheetId="9">'Permit Revenue_Cost'!$B$2:$E$25</definedName>
    <definedName name="_xlnm.Print_Area" localSheetId="8">'Population Assumptions'!$B$2:$H$17</definedName>
    <definedName name="_xlnm.Print_Area" localSheetId="1">'Prelim Development Assumptions'!$C$2:$G$22</definedName>
    <definedName name="_xlnm.Print_Area" localSheetId="10">'Public Safety Costs'!$B$3:$G$45</definedName>
    <definedName name="_xlnm.Print_Area" localSheetId="15">'Revenue and Cost Comp'!$B$2:$E$48</definedName>
    <definedName name="_xlnm.Print_Area" localSheetId="14">'Revenue SUMMARY'!$B$2:$E$30</definedName>
    <definedName name="_xlnm.Print_Area" localSheetId="7">'Sales Tax'!$B$3:$G$47</definedName>
    <definedName name="_xlnm.Print_Area" localSheetId="13">Schools!$B$3:$J$33</definedName>
    <definedName name="_xlnm.Print_Area" localSheetId="2">'Square Footage Values'!$B$3:$H$36</definedName>
    <definedName name="_xlnm.Print_Area" localSheetId="6">Stormwater!$B$3:$D$12</definedName>
    <definedName name="_xlnm.Print_Area" localSheetId="3">'Tax Calculation'!$C$2:$G$32</definedName>
    <definedName name="_xlnm.Print_Area" localSheetId="5">'Town Tax Breakout'!$C$1:$F$14</definedName>
    <definedName name="_xlnm.Print_Area" localSheetId="4">'Vehicle Tax'!$C$2:$G$32</definedName>
  </definedNames>
  <calcPr calcId="145621"/>
</workbook>
</file>

<file path=xl/calcChain.xml><?xml version="1.0" encoding="utf-8"?>
<calcChain xmlns="http://schemas.openxmlformats.org/spreadsheetml/2006/main">
  <c r="E33" i="6" l="1"/>
  <c r="E30" i="6"/>
  <c r="F30" i="5" l="1"/>
  <c r="F9" i="22"/>
  <c r="W13" i="32" l="1"/>
  <c r="W12" i="32"/>
  <c r="W11" i="32"/>
  <c r="V13" i="32"/>
  <c r="V12" i="32"/>
  <c r="V11" i="32"/>
  <c r="V10" i="32"/>
  <c r="V9" i="32"/>
  <c r="V8" i="32"/>
  <c r="V7" i="32"/>
  <c r="V14" i="32" l="1"/>
  <c r="C12" i="12"/>
  <c r="B41" i="27" l="1"/>
  <c r="B37" i="27"/>
  <c r="B31" i="27"/>
  <c r="B25" i="27"/>
  <c r="B18" i="27"/>
  <c r="C8" i="6"/>
  <c r="C5" i="6"/>
  <c r="D33" i="6"/>
  <c r="C30" i="6"/>
  <c r="H17" i="6"/>
  <c r="G14" i="6"/>
  <c r="G20" i="25"/>
  <c r="F20" i="25"/>
  <c r="E20" i="25"/>
  <c r="D12" i="12" l="1"/>
  <c r="D37" i="31" s="1"/>
  <c r="C14" i="12"/>
  <c r="C24" i="12"/>
  <c r="C22" i="12"/>
  <c r="E20" i="30"/>
  <c r="E19" i="30"/>
  <c r="E18" i="30"/>
  <c r="D19" i="30"/>
  <c r="D18" i="30"/>
  <c r="E16" i="30"/>
  <c r="E15" i="30"/>
  <c r="E14" i="30"/>
  <c r="D15" i="30"/>
  <c r="D14" i="30"/>
  <c r="D9" i="30"/>
  <c r="E9" i="30"/>
  <c r="E8" i="30"/>
  <c r="E7" i="30"/>
  <c r="F6" i="11"/>
  <c r="F5" i="11"/>
  <c r="C5" i="11"/>
  <c r="C6" i="11" s="1"/>
  <c r="E6" i="11" s="1"/>
  <c r="D14" i="25"/>
  <c r="F15" i="22"/>
  <c r="D41" i="22"/>
  <c r="E40" i="22"/>
  <c r="E41" i="22" s="1"/>
  <c r="E43" i="22" s="1"/>
  <c r="D40" i="22"/>
  <c r="H43" i="22"/>
  <c r="F8" i="22"/>
  <c r="F7" i="22"/>
  <c r="D35" i="4"/>
  <c r="D36" i="4" s="1"/>
  <c r="C38" i="4" s="1"/>
  <c r="C34" i="4"/>
  <c r="G6" i="11" l="1"/>
  <c r="C37" i="4"/>
  <c r="C39" i="4" s="1"/>
  <c r="D8" i="4" s="1"/>
  <c r="E16" i="5" s="1"/>
  <c r="F6" i="22" l="1"/>
  <c r="D31" i="25"/>
  <c r="F31" i="25" s="1"/>
  <c r="E14" i="25" s="1"/>
  <c r="D32" i="25"/>
  <c r="F32" i="25" s="1"/>
  <c r="E6" i="25" s="1"/>
  <c r="D6" i="25"/>
  <c r="D48" i="31" l="1"/>
  <c r="D43" i="31"/>
  <c r="D25" i="31"/>
  <c r="D20" i="31"/>
  <c r="C11" i="31"/>
  <c r="C25" i="31" l="1"/>
  <c r="F32" i="5"/>
  <c r="E32" i="5"/>
  <c r="D18" i="31"/>
  <c r="C26" i="4"/>
  <c r="E25" i="31" l="1"/>
  <c r="F10" i="5"/>
  <c r="E10" i="5" l="1"/>
  <c r="D13" i="31" s="1"/>
  <c r="D10" i="28" l="1"/>
  <c r="O16" i="4" l="1"/>
  <c r="O11" i="4"/>
  <c r="C54" i="27" l="1"/>
  <c r="D54" i="27"/>
  <c r="F54" i="27"/>
  <c r="E54" i="27"/>
  <c r="B54" i="27"/>
  <c r="G54" i="27" s="1"/>
  <c r="G56" i="27" s="1"/>
  <c r="G51" i="27"/>
  <c r="G50" i="27"/>
  <c r="F52" i="27"/>
  <c r="E52" i="27"/>
  <c r="D52" i="27"/>
  <c r="C52" i="27"/>
  <c r="B52" i="27"/>
  <c r="D51" i="27"/>
  <c r="C41" i="27"/>
  <c r="C37" i="27"/>
  <c r="C36" i="27"/>
  <c r="C35" i="27"/>
  <c r="C31" i="27"/>
  <c r="C30" i="27"/>
  <c r="C29" i="27"/>
  <c r="C25" i="27"/>
  <c r="C24" i="27"/>
  <c r="C23" i="27"/>
  <c r="C22" i="27"/>
  <c r="C18" i="27"/>
  <c r="C17" i="27"/>
  <c r="C16" i="27"/>
  <c r="C15" i="27"/>
  <c r="C14" i="27"/>
  <c r="C13" i="27"/>
  <c r="C12" i="27"/>
  <c r="C11" i="27"/>
  <c r="G52" i="27" l="1"/>
  <c r="C43" i="27" s="1"/>
  <c r="E7" i="3"/>
  <c r="F7" i="3" l="1"/>
  <c r="C16" i="4"/>
  <c r="E16" i="4" s="1"/>
  <c r="G16" i="4" s="1"/>
  <c r="C8" i="4" s="1"/>
  <c r="D6" i="27"/>
  <c r="D43" i="27"/>
  <c r="C45" i="27"/>
  <c r="E8" i="4" l="1"/>
  <c r="E15" i="5"/>
  <c r="D17" i="31" s="1"/>
  <c r="D41" i="27"/>
  <c r="D37" i="27"/>
  <c r="D33" i="27"/>
  <c r="D29" i="27"/>
  <c r="D25" i="27"/>
  <c r="D21" i="27"/>
  <c r="D17" i="27"/>
  <c r="D13" i="27"/>
  <c r="D40" i="27"/>
  <c r="D36" i="27"/>
  <c r="E14" i="5" s="1"/>
  <c r="D16" i="31" s="1"/>
  <c r="D32" i="27"/>
  <c r="D28" i="27"/>
  <c r="D24" i="27"/>
  <c r="D20" i="27"/>
  <c r="D16" i="27"/>
  <c r="D12" i="27"/>
  <c r="D44" i="27"/>
  <c r="D39" i="27"/>
  <c r="D35" i="27"/>
  <c r="E13" i="5" s="1"/>
  <c r="D31" i="27"/>
  <c r="D27" i="27"/>
  <c r="D23" i="27"/>
  <c r="D19" i="27"/>
  <c r="D15" i="27"/>
  <c r="D11" i="27"/>
  <c r="D42" i="27"/>
  <c r="D38" i="27"/>
  <c r="D34" i="27"/>
  <c r="D30" i="27"/>
  <c r="D26" i="27"/>
  <c r="D22" i="27"/>
  <c r="D18" i="27"/>
  <c r="D14" i="27"/>
  <c r="D45" i="27"/>
  <c r="E17" i="25"/>
  <c r="E9" i="25"/>
  <c r="C7" i="16"/>
  <c r="D15" i="31" l="1"/>
  <c r="C8" i="26"/>
  <c r="C10" i="31"/>
  <c r="C5" i="16"/>
  <c r="D8" i="26" s="1"/>
  <c r="E8" i="26" l="1"/>
  <c r="C33" i="31"/>
  <c r="D9" i="26"/>
  <c r="C34" i="31" s="1"/>
  <c r="C48" i="31" s="1"/>
  <c r="E48" i="31" s="1"/>
  <c r="C9" i="26"/>
  <c r="C11" i="26" s="1"/>
  <c r="D11" i="26" l="1"/>
  <c r="E9" i="26"/>
  <c r="E11" i="26" s="1"/>
  <c r="E34" i="11"/>
  <c r="E38" i="11" s="1"/>
  <c r="D18" i="23"/>
  <c r="G27" i="23"/>
  <c r="G10" i="23" s="1"/>
  <c r="F27" i="23"/>
  <c r="F10" i="23" s="1"/>
  <c r="G14" i="25"/>
  <c r="G6" i="25"/>
  <c r="E8" i="6"/>
  <c r="C22" i="26" s="1"/>
  <c r="C24" i="26" s="1"/>
  <c r="C30" i="26" s="1"/>
  <c r="E5" i="6"/>
  <c r="D22" i="26" s="1"/>
  <c r="G15" i="22"/>
  <c r="D16" i="23" s="1"/>
  <c r="F16" i="23" s="1"/>
  <c r="E10" i="22"/>
  <c r="D27" i="4" s="1"/>
  <c r="D28" i="4" s="1"/>
  <c r="G8" i="22"/>
  <c r="D8" i="23" s="1"/>
  <c r="G8" i="23" s="1"/>
  <c r="G7" i="22"/>
  <c r="D7" i="23" s="1"/>
  <c r="G7" i="23" s="1"/>
  <c r="G9" i="22"/>
  <c r="D9" i="23" s="1"/>
  <c r="E9" i="23" s="1"/>
  <c r="G6" i="22"/>
  <c r="D6" i="23" s="1"/>
  <c r="F6" i="23" s="1"/>
  <c r="C30" i="4" l="1"/>
  <c r="C29" i="4"/>
  <c r="G10" i="22"/>
  <c r="D11" i="23" s="1"/>
  <c r="E6" i="28" s="1"/>
  <c r="E8" i="28" s="1"/>
  <c r="F17" i="5" s="1"/>
  <c r="F17" i="23"/>
  <c r="F18" i="23" s="1"/>
  <c r="C14" i="26" s="1"/>
  <c r="G17" i="23"/>
  <c r="F16" i="25"/>
  <c r="F18" i="25" s="1"/>
  <c r="C15" i="26" s="1"/>
  <c r="F6" i="28"/>
  <c r="E16" i="25"/>
  <c r="E18" i="25" s="1"/>
  <c r="E22" i="26"/>
  <c r="E24" i="26" s="1"/>
  <c r="E30" i="26" s="1"/>
  <c r="D24" i="26"/>
  <c r="D30" i="26" s="1"/>
  <c r="G16" i="25"/>
  <c r="G18" i="25" s="1"/>
  <c r="C21" i="26" s="1"/>
  <c r="G8" i="25"/>
  <c r="G10" i="25" s="1"/>
  <c r="D21" i="26" s="1"/>
  <c r="F8" i="25"/>
  <c r="F10" i="25" s="1"/>
  <c r="D15" i="26" s="1"/>
  <c r="E8" i="25"/>
  <c r="E10" i="25" s="1"/>
  <c r="D6" i="26" s="1"/>
  <c r="C31" i="31" s="1"/>
  <c r="E16" i="23"/>
  <c r="E18" i="23" s="1"/>
  <c r="G16" i="23"/>
  <c r="F7" i="23"/>
  <c r="F9" i="23"/>
  <c r="G6" i="23"/>
  <c r="E8" i="23"/>
  <c r="E7" i="23"/>
  <c r="F8" i="23"/>
  <c r="G9" i="23"/>
  <c r="E6" i="23"/>
  <c r="C31" i="4" l="1"/>
  <c r="D5" i="4" s="1"/>
  <c r="F16" i="5" s="1"/>
  <c r="D41" i="31" s="1"/>
  <c r="W10" i="32" s="1"/>
  <c r="G18" i="23"/>
  <c r="C20" i="26" s="1"/>
  <c r="C23" i="26" s="1"/>
  <c r="E9" i="28"/>
  <c r="E7" i="28"/>
  <c r="C17" i="26"/>
  <c r="C6" i="26"/>
  <c r="C8" i="31"/>
  <c r="F8" i="28"/>
  <c r="E17" i="5" s="1"/>
  <c r="F9" i="28"/>
  <c r="F7" i="28"/>
  <c r="D42" i="31"/>
  <c r="W9" i="32" s="1"/>
  <c r="C5" i="26"/>
  <c r="C10" i="26" s="1"/>
  <c r="C7" i="31"/>
  <c r="C23" i="31" s="1"/>
  <c r="E15" i="26"/>
  <c r="E21" i="26"/>
  <c r="E6" i="26"/>
  <c r="F11" i="23"/>
  <c r="D14" i="26" s="1"/>
  <c r="E14" i="26" s="1"/>
  <c r="G11" i="23"/>
  <c r="D20" i="26" s="1"/>
  <c r="E20" i="26" s="1"/>
  <c r="E11" i="23"/>
  <c r="D5" i="26" s="1"/>
  <c r="F22" i="6"/>
  <c r="I22" i="6" s="1"/>
  <c r="F21" i="6"/>
  <c r="I21" i="6" s="1"/>
  <c r="F17" i="6"/>
  <c r="I17" i="6" s="1"/>
  <c r="F14" i="6"/>
  <c r="I14" i="6" s="1"/>
  <c r="E10" i="28" l="1"/>
  <c r="C29" i="26"/>
  <c r="E23" i="26"/>
  <c r="E5" i="26"/>
  <c r="C30" i="31"/>
  <c r="D23" i="26"/>
  <c r="D19" i="31"/>
  <c r="E19" i="5"/>
  <c r="D21" i="31" s="1"/>
  <c r="E20" i="5"/>
  <c r="D22" i="31" s="1"/>
  <c r="F10" i="28"/>
  <c r="E22" i="5" l="1"/>
  <c r="D23" i="31"/>
  <c r="E23" i="31" s="1"/>
  <c r="F31" i="19" l="1"/>
  <c r="D31" i="19"/>
  <c r="H31" i="19" s="1"/>
  <c r="H30" i="19"/>
  <c r="H29" i="19"/>
  <c r="H28" i="19"/>
  <c r="F24" i="19"/>
  <c r="D24" i="19"/>
  <c r="H23" i="19"/>
  <c r="H22" i="19"/>
  <c r="F18" i="19"/>
  <c r="D18" i="19"/>
  <c r="H17" i="19"/>
  <c r="H16" i="19"/>
  <c r="H15" i="19"/>
  <c r="H14" i="19"/>
  <c r="F10" i="19"/>
  <c r="D10" i="19"/>
  <c r="H10" i="19" s="1"/>
  <c r="H9" i="19"/>
  <c r="H8" i="19"/>
  <c r="H7" i="19"/>
  <c r="E4" i="3"/>
  <c r="C17" i="3"/>
  <c r="E15" i="11"/>
  <c r="E19" i="11" s="1"/>
  <c r="E5" i="11"/>
  <c r="F4" i="3" l="1"/>
  <c r="C15" i="4"/>
  <c r="E15" i="4" s="1"/>
  <c r="G15" i="4" s="1"/>
  <c r="C5" i="4" s="1"/>
  <c r="F15" i="5" s="1"/>
  <c r="D40" i="31" s="1"/>
  <c r="E6" i="27"/>
  <c r="H18" i="19"/>
  <c r="H24" i="19"/>
  <c r="G5" i="11"/>
  <c r="D7" i="26" s="1"/>
  <c r="C32" i="31" s="1"/>
  <c r="C46" i="31" s="1"/>
  <c r="D16" i="26"/>
  <c r="E40" i="27" l="1"/>
  <c r="E36" i="27"/>
  <c r="F14" i="5" s="1"/>
  <c r="D39" i="31" s="1"/>
  <c r="E32" i="27"/>
  <c r="E28" i="27"/>
  <c r="E24" i="27"/>
  <c r="E20" i="27"/>
  <c r="E16" i="27"/>
  <c r="E12" i="27"/>
  <c r="E44" i="27"/>
  <c r="E39" i="27"/>
  <c r="E35" i="27"/>
  <c r="F13" i="5" s="1"/>
  <c r="E31" i="27"/>
  <c r="E27" i="27"/>
  <c r="E23" i="27"/>
  <c r="E19" i="27"/>
  <c r="E15" i="27"/>
  <c r="E11" i="27"/>
  <c r="E42" i="27"/>
  <c r="E38" i="27"/>
  <c r="E34" i="27"/>
  <c r="E30" i="27"/>
  <c r="E26" i="27"/>
  <c r="E22" i="27"/>
  <c r="E18" i="27"/>
  <c r="E14" i="27"/>
  <c r="E41" i="27"/>
  <c r="E37" i="27"/>
  <c r="E33" i="27"/>
  <c r="E29" i="27"/>
  <c r="E25" i="27"/>
  <c r="E21" i="27"/>
  <c r="E17" i="27"/>
  <c r="E13" i="27"/>
  <c r="E43" i="27"/>
  <c r="E45" i="27"/>
  <c r="H4" i="3"/>
  <c r="G7" i="3"/>
  <c r="H7" i="3" s="1"/>
  <c r="E16" i="26"/>
  <c r="E17" i="26" s="1"/>
  <c r="D17" i="26"/>
  <c r="E7" i="26"/>
  <c r="E10" i="26" s="1"/>
  <c r="D10" i="26"/>
  <c r="D38" i="31" l="1"/>
  <c r="F19" i="5"/>
  <c r="D44" i="31" s="1"/>
  <c r="W8" i="32" s="1"/>
  <c r="F20" i="5"/>
  <c r="D45" i="31" s="1"/>
  <c r="W7" i="32" s="1"/>
  <c r="D29" i="26"/>
  <c r="E5" i="4"/>
  <c r="E29" i="26"/>
  <c r="W14" i="32" l="1"/>
  <c r="D46" i="31"/>
  <c r="F22" i="5"/>
  <c r="E46" i="31" l="1"/>
</calcChain>
</file>

<file path=xl/sharedStrings.xml><?xml version="1.0" encoding="utf-8"?>
<sst xmlns="http://schemas.openxmlformats.org/spreadsheetml/2006/main" count="584" uniqueCount="310">
  <si>
    <t>Debt Service</t>
  </si>
  <si>
    <t>Inspections</t>
  </si>
  <si>
    <t>Police</t>
  </si>
  <si>
    <t>Fire</t>
  </si>
  <si>
    <t>Parks &amp; Recreation</t>
  </si>
  <si>
    <t>Public Works</t>
  </si>
  <si>
    <t>Planning</t>
  </si>
  <si>
    <t>Transit</t>
  </si>
  <si>
    <t>Total</t>
  </si>
  <si>
    <t>Public Safety Costs</t>
  </si>
  <si>
    <t>School Impact Fees (One-Time Revenue)</t>
  </si>
  <si>
    <t>Units</t>
  </si>
  <si>
    <t>Per Unit Fee</t>
  </si>
  <si>
    <t>GENERAL FUND</t>
  </si>
  <si>
    <t>Public Safety</t>
  </si>
  <si>
    <t>Property Use</t>
  </si>
  <si>
    <t>Square Feet</t>
  </si>
  <si>
    <t>Hotel</t>
  </si>
  <si>
    <t>Retail</t>
  </si>
  <si>
    <t>Office</t>
  </si>
  <si>
    <t xml:space="preserve">    Total</t>
  </si>
  <si>
    <t>Town of Chapel Hill</t>
  </si>
  <si>
    <t>Orange County</t>
  </si>
  <si>
    <t>New Retail Sq. Footage</t>
  </si>
  <si>
    <t>Est. Sales per Sq. Foot</t>
  </si>
  <si>
    <t>Total Est. Sales</t>
  </si>
  <si>
    <t>Tax Multiplier</t>
  </si>
  <si>
    <t>Chapel Hill Sales Tax Distribution 2013 (1)</t>
  </si>
  <si>
    <t>Orange County Sales Tax Distribution 2013 (1)</t>
  </si>
  <si>
    <t>Tax Revenues</t>
  </si>
  <si>
    <t>Total Orange County Sales (2)</t>
  </si>
  <si>
    <t>Orange County Revenue per sales dollar</t>
  </si>
  <si>
    <t>Town Sales Tax per Dollar of Retail Sales</t>
  </si>
  <si>
    <t>Per Capita Distribution for TOCH</t>
  </si>
  <si>
    <t>1. NCDOR for 2013</t>
  </si>
  <si>
    <t>Population Assumptions</t>
  </si>
  <si>
    <t>Multifamily Units</t>
  </si>
  <si>
    <t>Residents per Unit</t>
  </si>
  <si>
    <t>Meadowmont Apts</t>
  </si>
  <si>
    <t>Glen Lennox</t>
  </si>
  <si>
    <t>The Park</t>
  </si>
  <si>
    <t>Hillsborough St/MLK</t>
  </si>
  <si>
    <t>Central Chapel Hill Single Family</t>
  </si>
  <si>
    <t>Chapel Ridge Apts</t>
  </si>
  <si>
    <t xml:space="preserve">     Average</t>
  </si>
  <si>
    <t>Residents per Multifamily Unit</t>
  </si>
  <si>
    <t>Total New Residents</t>
  </si>
  <si>
    <t xml:space="preserve">Estimated Population </t>
  </si>
  <si>
    <t>Population Projections</t>
  </si>
  <si>
    <t>Total All Phases</t>
  </si>
  <si>
    <t>New Square Footage</t>
  </si>
  <si>
    <t>Total Est. Permit Revenue</t>
  </si>
  <si>
    <t>Storm water</t>
  </si>
  <si>
    <t>Storm water Utility Fees:</t>
  </si>
  <si>
    <t>Source: Town Inspections Office</t>
  </si>
  <si>
    <t>Building Permit Revenue Estimation (One-Time Revenue)</t>
  </si>
  <si>
    <t>Source: Stormwater Division</t>
  </si>
  <si>
    <t xml:space="preserve">2. Per Chamber </t>
  </si>
  <si>
    <t>3. Sales per sq foot from Economic Development</t>
  </si>
  <si>
    <t>Average Square Footage Value by Use</t>
  </si>
  <si>
    <t>RETAIL</t>
  </si>
  <si>
    <t>Property</t>
  </si>
  <si>
    <t>Valuation</t>
  </si>
  <si>
    <t>SF</t>
  </si>
  <si>
    <t>Value per SF</t>
  </si>
  <si>
    <t>Meadowmont</t>
  </si>
  <si>
    <t>Southern Village</t>
  </si>
  <si>
    <t>East 54</t>
  </si>
  <si>
    <t>HOTEL</t>
  </si>
  <si>
    <t>Sienna</t>
  </si>
  <si>
    <t>Downtown Hampton</t>
  </si>
  <si>
    <t>Franklin Hotel</t>
  </si>
  <si>
    <t>Aloft</t>
  </si>
  <si>
    <t>MULTI-FAMILY RESIDENTIAL</t>
  </si>
  <si>
    <t>Greenbridge</t>
  </si>
  <si>
    <t>Granville</t>
  </si>
  <si>
    <t>OFFICE</t>
  </si>
  <si>
    <t>Castalia</t>
  </si>
  <si>
    <t>Exchange @ Meadowmont</t>
  </si>
  <si>
    <t>Variance</t>
  </si>
  <si>
    <t>Obey Creek % of Total Population</t>
  </si>
  <si>
    <t>Residential</t>
  </si>
  <si>
    <t>South Grove Homes</t>
  </si>
  <si>
    <t>or</t>
  </si>
  <si>
    <t>Obey Creek</t>
  </si>
  <si>
    <t>120' x 150' lots</t>
  </si>
  <si>
    <t>~0.4 acres</t>
  </si>
  <si>
    <t>~3200 sq ft</t>
  </si>
  <si>
    <t xml:space="preserve"> @ $180 per sq ft</t>
  </si>
  <si>
    <t>~$575k per house</t>
  </si>
  <si>
    <t>General Fund</t>
  </si>
  <si>
    <t>Full build-out</t>
  </si>
  <si>
    <t>Full Build-out</t>
  </si>
  <si>
    <t>Multi-Family Homes</t>
  </si>
  <si>
    <t>Single-Family Homes</t>
  </si>
  <si>
    <t>Elementary</t>
  </si>
  <si>
    <t>Middle</t>
  </si>
  <si>
    <t>High</t>
  </si>
  <si>
    <t>All</t>
  </si>
  <si>
    <t>OCS Generation Rates</t>
  </si>
  <si>
    <t>Mixed-Use</t>
  </si>
  <si>
    <t>Single-Family</t>
  </si>
  <si>
    <t>Generated</t>
  </si>
  <si>
    <t>Sales Tax</t>
  </si>
  <si>
    <t>Development Team Master Plan</t>
  </si>
  <si>
    <t>Projected units</t>
  </si>
  <si>
    <t>Projected Value @ full build-out</t>
  </si>
  <si>
    <t>Current Zoning</t>
  </si>
  <si>
    <t>School District</t>
  </si>
  <si>
    <t>Orange County    87.4 cents</t>
  </si>
  <si>
    <t>School District    20.84 cents</t>
  </si>
  <si>
    <t>Master Plan</t>
  </si>
  <si>
    <t>Development Master Plan</t>
  </si>
  <si>
    <t>Student Generation Rates</t>
  </si>
  <si>
    <t>Est. Students Generated</t>
  </si>
  <si>
    <t>DEVELOPMENT ASSUMPTIONS</t>
  </si>
  <si>
    <t>Vehicle Value</t>
  </si>
  <si>
    <t>Est. Vehicle Tax Value</t>
  </si>
  <si>
    <t>Vehicles per Unit</t>
  </si>
  <si>
    <t>Vehicle Taxes</t>
  </si>
  <si>
    <t>Parcel # 9787136437</t>
  </si>
  <si>
    <t>Parcel # 9787140366</t>
  </si>
  <si>
    <t>Parcel # 9787148639</t>
  </si>
  <si>
    <t xml:space="preserve">   Less current tax</t>
  </si>
  <si>
    <t>OBEY CREEK DEVELOPMENT REVENUE SUMMARY</t>
  </si>
  <si>
    <t xml:space="preserve">Development Plan </t>
  </si>
  <si>
    <t>Vehicle Taxes &amp; Fees</t>
  </si>
  <si>
    <t>Net Property Taxes</t>
  </si>
  <si>
    <t>Building Permit Fees (One-Time)</t>
  </si>
  <si>
    <t>Per Capita Distribution for Orange County</t>
  </si>
  <si>
    <t>Impact Fees (One-Time)</t>
  </si>
  <si>
    <t xml:space="preserve">   Total Annual</t>
  </si>
  <si>
    <t xml:space="preserve">   Total One-time</t>
  </si>
  <si>
    <t>Vehicle Tax</t>
  </si>
  <si>
    <t>Town Vehicle Fee @$30</t>
  </si>
  <si>
    <t>Storm Water Utility Fees</t>
  </si>
  <si>
    <t>1,243 ERUs</t>
  </si>
  <si>
    <t>331 ERUs</t>
  </si>
  <si>
    <t>SUMMARY ALL JURISDICTIONS (Town, County &amp; School District)</t>
  </si>
  <si>
    <t>Annual Property Tax Revenue @ Full Build-out</t>
  </si>
  <si>
    <t>Annual Vehicle Tax &amp; Fee Revenue @ Full Build-out</t>
  </si>
  <si>
    <t>Est. Annual Sales Taxes @ Build Out</t>
  </si>
  <si>
    <t>Development Plan</t>
  </si>
  <si>
    <t>Existing Zoning</t>
  </si>
  <si>
    <t>Single Family Residences</t>
  </si>
  <si>
    <t>Residents per Unit*</t>
  </si>
  <si>
    <t xml:space="preserve"> * Per Planning Department Estimate</t>
  </si>
  <si>
    <t>Based on most recent CHCCS Student Generation Formulas</t>
  </si>
  <si>
    <t>Library</t>
  </si>
  <si>
    <t>General Government</t>
  </si>
  <si>
    <t>Environment &amp; Development</t>
  </si>
  <si>
    <t>EXPENDITURES BY DEPARTMENT</t>
  </si>
  <si>
    <t>2014-15</t>
  </si>
  <si>
    <t>Adopted</t>
  </si>
  <si>
    <t>Budget</t>
  </si>
  <si>
    <t>Mayor/Council</t>
  </si>
  <si>
    <t>Manager/CaPA</t>
  </si>
  <si>
    <t>Human Resource Dev't</t>
  </si>
  <si>
    <t>Finance</t>
  </si>
  <si>
    <t>Technology Solutions</t>
  </si>
  <si>
    <t>Town Attorney</t>
  </si>
  <si>
    <t>Non-Departmental</t>
  </si>
  <si>
    <t>Subtotal</t>
  </si>
  <si>
    <t>Leisure</t>
  </si>
  <si>
    <t>Parks and Recreation</t>
  </si>
  <si>
    <t>General Fund Total</t>
  </si>
  <si>
    <t>FY14 Population</t>
  </si>
  <si>
    <t>Capital Investment Ratio</t>
  </si>
  <si>
    <t xml:space="preserve">     Total Capital Investment</t>
  </si>
  <si>
    <t>Cost per</t>
  </si>
  <si>
    <t>Capita</t>
  </si>
  <si>
    <t>FY15</t>
  </si>
  <si>
    <t>FY14</t>
  </si>
  <si>
    <t>FY13</t>
  </si>
  <si>
    <t>FY12</t>
  </si>
  <si>
    <t>FY11</t>
  </si>
  <si>
    <t>5yr Average</t>
  </si>
  <si>
    <t xml:space="preserve">Town Budget  </t>
  </si>
  <si>
    <t xml:space="preserve">Per-capita Capital </t>
  </si>
  <si>
    <t>Total Per Capita</t>
  </si>
  <si>
    <t>Town Property Tax Breakdown</t>
  </si>
  <si>
    <t>Transit Fund</t>
  </si>
  <si>
    <t>Debt Fund</t>
  </si>
  <si>
    <t>Tax Rate per $ 100 Assessed Value</t>
  </si>
  <si>
    <t>Projected Assessment*</t>
  </si>
  <si>
    <t>*Includes Vehicles</t>
  </si>
  <si>
    <t>Town of Chapel Hill 52.4 cents</t>
  </si>
  <si>
    <t>Solid Waste Collection</t>
  </si>
  <si>
    <t>Street Maintenance Services</t>
  </si>
  <si>
    <t>Service</t>
  </si>
  <si>
    <t>Costing Method</t>
  </si>
  <si>
    <t>Per Capita</t>
  </si>
  <si>
    <t>Library Services</t>
  </si>
  <si>
    <t>Police Services</t>
  </si>
  <si>
    <t>Fire Services</t>
  </si>
  <si>
    <t>Public Transportation</t>
  </si>
  <si>
    <t xml:space="preserve">Revenue Off-set </t>
  </si>
  <si>
    <t>Planning/Inspections</t>
  </si>
  <si>
    <t>Calls for service estimation</t>
  </si>
  <si>
    <t>Direct cost estimation</t>
  </si>
  <si>
    <t>Estimation Method</t>
  </si>
  <si>
    <t>Direct Estimation</t>
  </si>
  <si>
    <t>Per Capita Calculation</t>
  </si>
  <si>
    <t>Town Service</t>
  </si>
  <si>
    <t>Town Services Annual Costs</t>
  </si>
  <si>
    <t>Population increase</t>
  </si>
  <si>
    <t>Ratio Operational to Capital</t>
  </si>
  <si>
    <t>Calls for service est.</t>
  </si>
  <si>
    <t>Public Works:</t>
  </si>
  <si>
    <t>Town Services One-Time Costs</t>
  </si>
  <si>
    <t>Apparatus Cost</t>
  </si>
  <si>
    <t xml:space="preserve">Scenario 1 </t>
  </si>
  <si>
    <t xml:space="preserve">sq ft per company </t>
  </si>
  <si>
    <t>development plan</t>
  </si>
  <si>
    <t>number of companies</t>
  </si>
  <si>
    <t xml:space="preserve">   Company Cost</t>
  </si>
  <si>
    <t xml:space="preserve">Cost per valuation </t>
  </si>
  <si>
    <t xml:space="preserve">   Total</t>
  </si>
  <si>
    <t>Proportional O/H (13%)</t>
  </si>
  <si>
    <t>Capital - Debt Service</t>
  </si>
  <si>
    <t>Pay-go (included above)</t>
  </si>
  <si>
    <t>Proportion of Op. (13%)</t>
  </si>
  <si>
    <t>Revenues</t>
  </si>
  <si>
    <t>REVENUES</t>
  </si>
  <si>
    <t>Costs</t>
  </si>
  <si>
    <t>OBEY CREEK DEVELOPMENT   Town Revenue/Cost Comparison</t>
  </si>
  <si>
    <t xml:space="preserve">   Total  Annual </t>
  </si>
  <si>
    <t xml:space="preserve">   Total  (One-time)</t>
  </si>
  <si>
    <t>Solid Waste (one-time)</t>
  </si>
  <si>
    <t>Building Permit Fees (one-time)</t>
  </si>
  <si>
    <t>Planning/Inspections (one-time)</t>
  </si>
  <si>
    <t>Per schools</t>
  </si>
  <si>
    <t>Est. Students Generated*</t>
  </si>
  <si>
    <t>* Per CHCCS</t>
  </si>
  <si>
    <t>Sales Tax Estimation</t>
  </si>
  <si>
    <t>Notes:</t>
  </si>
  <si>
    <t>Projected Units - (see Preliminary Development Assumptions Tab)</t>
  </si>
  <si>
    <t xml:space="preserve">Vehicle value is conservative estimate </t>
  </si>
  <si>
    <t>Vehicles per unit</t>
  </si>
  <si>
    <t>Based on 670 vehicles per 1,000 residents</t>
  </si>
  <si>
    <t>Vehicles per unit:</t>
  </si>
  <si>
    <t>Single family</t>
  </si>
  <si>
    <t>Multifamily</t>
  </si>
  <si>
    <t>Occupants per unit</t>
  </si>
  <si>
    <t>Vehicles per occupant</t>
  </si>
  <si>
    <t>Tax Rates FY15</t>
  </si>
  <si>
    <t>Current Tax (from County Assessment Records)</t>
  </si>
  <si>
    <t xml:space="preserve">Projected Values can be found in the Preliminary Development Assumption Tab </t>
  </si>
  <si>
    <t>Fee per ERU is $24.75</t>
  </si>
  <si>
    <t>County Sales Tax per Dollar of Retail Sales</t>
  </si>
  <si>
    <t>Sales Tax Multiplier (Town)</t>
  </si>
  <si>
    <t>Sales Tax Multiplier (County)</t>
  </si>
  <si>
    <t xml:space="preserve">Total </t>
  </si>
  <si>
    <t>Average</t>
  </si>
  <si>
    <t>Per Sq Foot Value</t>
  </si>
  <si>
    <t xml:space="preserve">Calls for Service based on population increase </t>
  </si>
  <si>
    <t>Est Added Population</t>
  </si>
  <si>
    <t>Calls for service per person</t>
  </si>
  <si>
    <t>Additional Service Calls</t>
  </si>
  <si>
    <t>Cost per service Call</t>
  </si>
  <si>
    <t xml:space="preserve">Expected additional Cost </t>
  </si>
  <si>
    <t xml:space="preserve">Staffing Cost </t>
  </si>
  <si>
    <t>Total Fire Cost</t>
  </si>
  <si>
    <t xml:space="preserve">Police cost is based on a service call per capita cost </t>
  </si>
  <si>
    <t>Fire cost is based on the cost of coverage per square foot of development</t>
  </si>
  <si>
    <t xml:space="preserve">   1 fire compaby ccovers 4 million sq feet</t>
  </si>
  <si>
    <t xml:space="preserve">   Proportional annual cost of fire apparatus assuming financing over 12 year life added </t>
  </si>
  <si>
    <t>Annual Financing Cost</t>
  </si>
  <si>
    <t>annual cost 10 yr financing @4%</t>
  </si>
  <si>
    <t>Source: Planning Department/Developer</t>
  </si>
  <si>
    <t>Value PSF*</t>
  </si>
  <si>
    <t>*See Square Footage tab for Value per Square foot</t>
  </si>
  <si>
    <t>Source - Economic Development Office</t>
  </si>
  <si>
    <t>Tax Rates are based on FY15  rates</t>
  </si>
  <si>
    <t>Current Taxes on property from County Tax Records</t>
  </si>
  <si>
    <t>Value PSF**</t>
  </si>
  <si>
    <t xml:space="preserve">** Square footage value calculation for Single Family reside shown below </t>
  </si>
  <si>
    <t>Tax Rates</t>
  </si>
  <si>
    <t>Estimates 11% impervious surface</t>
  </si>
  <si>
    <t>Note:</t>
  </si>
  <si>
    <t>Sales tax estimation os based on actual tax receipts as a percent of retail sales</t>
  </si>
  <si>
    <t xml:space="preserve">Sales taxes are distributed on a per-capita basis through the County </t>
  </si>
  <si>
    <t>Town Sales Tax</t>
  </si>
  <si>
    <t>County Sales Tax</t>
  </si>
  <si>
    <t>Capital</t>
  </si>
  <si>
    <t>Leisure Costs</t>
  </si>
  <si>
    <t>New Population Served</t>
  </si>
  <si>
    <t>Cost of Service</t>
  </si>
  <si>
    <t xml:space="preserve">  Total</t>
  </si>
  <si>
    <t xml:space="preserve">Cost of Transit services will be determined based on a separate analysis that will consider trip generation,   </t>
  </si>
  <si>
    <t xml:space="preserve">esisting service structure, enterprise fund affordability and funding partner negotiations of system-wide </t>
  </si>
  <si>
    <t>priorities.  Listed cost is a place-holder representing direct Transit tax revenue received by the Town.</t>
  </si>
  <si>
    <t>Cost</t>
  </si>
  <si>
    <t>Revenue</t>
  </si>
  <si>
    <t>Ratio</t>
  </si>
  <si>
    <t>Building Permit Cost Estimation (One-Time Cost)</t>
  </si>
  <si>
    <t>Total Est. Cost</t>
  </si>
  <si>
    <t>PW costs for development plan are assumed to be zero based on private roads and private waste collection</t>
  </si>
  <si>
    <t>Vehicles per unit based on population per housing unit assumptions (see pop. assumption tab)</t>
  </si>
  <si>
    <t>projects (based on Ef)</t>
  </si>
  <si>
    <t xml:space="preserve">Ratio of one-time Inspection revenue to one-time cost for major </t>
  </si>
  <si>
    <t>Scenario 2</t>
  </si>
  <si>
    <t>Gen Gov.</t>
  </si>
  <si>
    <t>P&amp;R</t>
  </si>
  <si>
    <t>PW</t>
  </si>
  <si>
    <t>Total:</t>
  </si>
  <si>
    <t>Annual Town Costs</t>
  </si>
  <si>
    <t xml:space="preserve">Note: It is assumed tha the cost of inspection under the Current Zoning  </t>
  </si>
  <si>
    <t xml:space="preserve">Scenario would be included within the base Inspectins Budget </t>
  </si>
  <si>
    <r>
      <t xml:space="preserve">Student Generation Rates (Updated for 2014 </t>
    </r>
    <r>
      <rPr>
        <b/>
        <i/>
        <sz val="14"/>
        <color rgb="FFFF0000"/>
        <rFont val="Calibri"/>
        <family val="2"/>
        <scheme val="minor"/>
      </rPr>
      <t>preliminary unadopted</t>
    </r>
    <r>
      <rPr>
        <b/>
        <sz val="14"/>
        <color rgb="FFFF0000"/>
        <rFont val="Calibri"/>
        <family val="2"/>
        <scheme val="minor"/>
      </rPr>
      <t>Student Generation Rates)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</si>
</sst>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&quot;$&quot;* #,##0_);_(&quot;$&quot;* \(#,##0\);_(&quot;$&quot;* &quot;-&quot;??_);_(@_)"/>
    <numFmt numFmtId="169" formatCode="&quot;$&quot;#,##0"/>
    <numFmt numFmtId="170" formatCode="&quot;$&quot;#,##0.00"/>
    <numFmt numFmtId="171" formatCode="0.0%"/>
    <numFmt numFmtId="172" formatCode="0.000%"/>
    <numFmt numFmtId="173" formatCode="0.000"/>
    <numFmt numFmtId="174" formatCode="_(* #,##0.000_);_(* \(#,##0.000\);_(* &quot;-&quot;??_);_(@_)"/>
    <numFmt numFmtId="175" formatCode="#,##0.0_);\(#,##0.0\)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 val="singleAccounting"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b/>
      <i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i/>
      <sz val="10"/>
      <color theme="1"/>
      <name val="Arial Narrow"/>
      <family val="2"/>
    </font>
    <font>
      <i/>
      <sz val="12"/>
      <color theme="1"/>
      <name val="Arial Narrow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i/>
      <sz val="12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u/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rgb="FF0070C0"/>
      <name val="Arial Narrow"/>
      <family val="2"/>
    </font>
    <font>
      <u/>
      <sz val="12"/>
      <color rgb="FFFF0000"/>
      <name val="Calibri"/>
      <family val="2"/>
      <scheme val="minor"/>
    </font>
    <font>
      <u val="singleAccounting"/>
      <sz val="12"/>
      <color rgb="FFFF0000"/>
      <name val="Calibri"/>
      <family val="2"/>
      <scheme val="minor"/>
    </font>
    <font>
      <b/>
      <sz val="12"/>
      <color rgb="FF0070C0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Calibri"/>
      <family val="2"/>
      <scheme val="minor"/>
    </font>
    <font>
      <sz val="10"/>
      <color rgb="FFFF0000"/>
      <name val="Arial"/>
      <family val="2"/>
    </font>
    <font>
      <u val="singleAccounting"/>
      <sz val="12"/>
      <color rgb="FFFF0000"/>
      <name val="Arial"/>
      <family val="2"/>
    </font>
    <font>
      <sz val="12"/>
      <color rgb="FF0070C0"/>
      <name val="Arial"/>
      <family val="2"/>
    </font>
    <font>
      <i/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u val="singleAccounting"/>
      <sz val="12"/>
      <color rgb="FFFF0000"/>
      <name val="Times New Roman"/>
      <family val="1"/>
    </font>
    <font>
      <i/>
      <sz val="12"/>
      <color rgb="FF0070C0"/>
      <name val="Arial"/>
      <family val="2"/>
    </font>
    <font>
      <sz val="10"/>
      <color rgb="FF0070C0"/>
      <name val="Arial"/>
      <family val="2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43" fontId="8" fillId="0" borderId="0" xfId="1" applyNumberFormat="1" applyFont="1"/>
    <xf numFmtId="167" fontId="8" fillId="0" borderId="0" xfId="1" applyNumberFormat="1" applyFont="1"/>
    <xf numFmtId="0" fontId="14" fillId="0" borderId="0" xfId="0" applyFont="1"/>
    <xf numFmtId="0" fontId="15" fillId="0" borderId="3" xfId="0" applyFont="1" applyBorder="1" applyAlignment="1">
      <alignment horizontal="left"/>
    </xf>
    <xf numFmtId="165" fontId="16" fillId="0" borderId="2" xfId="1" applyNumberFormat="1" applyFont="1" applyBorder="1"/>
    <xf numFmtId="168" fontId="16" fillId="0" borderId="4" xfId="2" applyNumberFormat="1" applyFont="1" applyBorder="1"/>
    <xf numFmtId="165" fontId="16" fillId="0" borderId="4" xfId="1" applyNumberFormat="1" applyFont="1" applyBorder="1"/>
    <xf numFmtId="0" fontId="17" fillId="0" borderId="0" xfId="0" applyFont="1" applyFill="1" applyBorder="1" applyAlignment="1">
      <alignment horizontal="left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4" borderId="0" xfId="0" applyFont="1" applyFill="1" applyBorder="1"/>
    <xf numFmtId="165" fontId="0" fillId="0" borderId="0" xfId="1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Border="1" applyAlignment="1">
      <alignment horizontal="centerContinuous"/>
    </xf>
    <xf numFmtId="165" fontId="4" fillId="0" borderId="0" xfId="1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66" fontId="0" fillId="0" borderId="0" xfId="1" applyNumberFormat="1" applyFont="1"/>
    <xf numFmtId="43" fontId="0" fillId="0" borderId="0" xfId="1" applyNumberFormat="1" applyFont="1"/>
    <xf numFmtId="9" fontId="0" fillId="0" borderId="0" xfId="3" applyFont="1"/>
    <xf numFmtId="0" fontId="0" fillId="0" borderId="6" xfId="0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8" xfId="0" applyBorder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0" fillId="0" borderId="9" xfId="1" applyNumberFormat="1" applyFont="1" applyBorder="1"/>
    <xf numFmtId="172" fontId="0" fillId="0" borderId="9" xfId="3" applyNumberFormat="1" applyFont="1" applyBorder="1"/>
    <xf numFmtId="172" fontId="0" fillId="0" borderId="9" xfId="1" applyNumberFormat="1" applyFont="1" applyBorder="1"/>
    <xf numFmtId="0" fontId="6" fillId="0" borderId="8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Border="1"/>
    <xf numFmtId="0" fontId="5" fillId="0" borderId="13" xfId="0" applyFont="1" applyBorder="1"/>
    <xf numFmtId="0" fontId="15" fillId="5" borderId="3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7" fillId="0" borderId="13" xfId="0" applyFont="1" applyBorder="1"/>
    <xf numFmtId="165" fontId="8" fillId="0" borderId="7" xfId="1" applyNumberFormat="1" applyFont="1" applyBorder="1"/>
    <xf numFmtId="0" fontId="8" fillId="0" borderId="8" xfId="0" applyFont="1" applyBorder="1"/>
    <xf numFmtId="0" fontId="7" fillId="0" borderId="10" xfId="0" applyFont="1" applyBorder="1"/>
    <xf numFmtId="43" fontId="7" fillId="0" borderId="12" xfId="1" applyFont="1" applyBorder="1"/>
    <xf numFmtId="171" fontId="8" fillId="0" borderId="0" xfId="3" applyNumberFormat="1" applyFont="1"/>
    <xf numFmtId="10" fontId="8" fillId="0" borderId="0" xfId="3" applyNumberFormat="1" applyFont="1"/>
    <xf numFmtId="0" fontId="8" fillId="0" borderId="0" xfId="1" applyNumberFormat="1" applyFont="1"/>
    <xf numFmtId="0" fontId="7" fillId="0" borderId="0" xfId="1" applyNumberFormat="1" applyFont="1"/>
    <xf numFmtId="165" fontId="7" fillId="0" borderId="0" xfId="1" applyNumberFormat="1" applyFont="1"/>
    <xf numFmtId="10" fontId="16" fillId="0" borderId="4" xfId="3" applyNumberFormat="1" applyFont="1" applyBorder="1"/>
    <xf numFmtId="0" fontId="8" fillId="0" borderId="3" xfId="0" applyFont="1" applyBorder="1"/>
    <xf numFmtId="165" fontId="16" fillId="0" borderId="0" xfId="1" applyNumberFormat="1" applyFont="1" applyBorder="1"/>
    <xf numFmtId="168" fontId="16" fillId="0" borderId="0" xfId="2" applyNumberFormat="1" applyFont="1" applyBorder="1"/>
    <xf numFmtId="0" fontId="15" fillId="4" borderId="0" xfId="0" applyFont="1" applyFill="1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0" fontId="15" fillId="5" borderId="14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165" fontId="18" fillId="0" borderId="0" xfId="0" applyNumberFormat="1" applyFont="1" applyBorder="1"/>
    <xf numFmtId="0" fontId="12" fillId="0" borderId="8" xfId="0" applyFont="1" applyBorder="1"/>
    <xf numFmtId="0" fontId="7" fillId="0" borderId="3" xfId="0" applyFont="1" applyBorder="1"/>
    <xf numFmtId="0" fontId="8" fillId="4" borderId="0" xfId="0" applyFont="1" applyFill="1" applyBorder="1"/>
    <xf numFmtId="165" fontId="8" fillId="4" borderId="0" xfId="1" applyNumberFormat="1" applyFont="1" applyFill="1" applyBorder="1"/>
    <xf numFmtId="165" fontId="6" fillId="0" borderId="0" xfId="1" applyNumberFormat="1" applyFont="1"/>
    <xf numFmtId="0" fontId="0" fillId="4" borderId="0" xfId="0" applyFill="1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wrapText="1"/>
    </xf>
    <xf numFmtId="165" fontId="7" fillId="4" borderId="0" xfId="1" applyNumberFormat="1" applyFont="1" applyFill="1" applyBorder="1"/>
    <xf numFmtId="0" fontId="7" fillId="4" borderId="0" xfId="0" applyFont="1" applyFill="1" applyBorder="1"/>
    <xf numFmtId="0" fontId="10" fillId="4" borderId="0" xfId="0" applyFont="1" applyFill="1" applyBorder="1"/>
    <xf numFmtId="0" fontId="13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168" fontId="16" fillId="0" borderId="0" xfId="2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right"/>
    </xf>
    <xf numFmtId="165" fontId="24" fillId="0" borderId="0" xfId="1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15" fillId="0" borderId="0" xfId="0" applyFont="1"/>
    <xf numFmtId="168" fontId="15" fillId="0" borderId="0" xfId="2" applyNumberFormat="1" applyFont="1" applyAlignment="1">
      <alignment horizontal="right"/>
    </xf>
    <xf numFmtId="165" fontId="15" fillId="0" borderId="0" xfId="1" applyNumberFormat="1" applyFont="1" applyAlignment="1">
      <alignment horizontal="center"/>
    </xf>
    <xf numFmtId="44" fontId="15" fillId="0" borderId="0" xfId="2" applyNumberFormat="1" applyFont="1" applyAlignment="1">
      <alignment horizontal="right"/>
    </xf>
    <xf numFmtId="168" fontId="16" fillId="0" borderId="0" xfId="2" applyNumberFormat="1" applyFont="1" applyAlignment="1">
      <alignment horizontal="center"/>
    </xf>
    <xf numFmtId="165" fontId="25" fillId="0" borderId="0" xfId="1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44" fontId="15" fillId="0" borderId="0" xfId="2" applyFont="1" applyAlignment="1">
      <alignment horizontal="right"/>
    </xf>
    <xf numFmtId="0" fontId="26" fillId="0" borderId="0" xfId="0" applyFont="1"/>
    <xf numFmtId="168" fontId="16" fillId="0" borderId="0" xfId="1" applyNumberFormat="1" applyFont="1" applyAlignment="1">
      <alignment horizontal="right"/>
    </xf>
    <xf numFmtId="170" fontId="23" fillId="0" borderId="0" xfId="0" applyNumberFormat="1" applyFont="1" applyAlignment="1">
      <alignment horizontal="center"/>
    </xf>
    <xf numFmtId="0" fontId="16" fillId="4" borderId="0" xfId="0" applyFont="1" applyFill="1"/>
    <xf numFmtId="0" fontId="0" fillId="4" borderId="0" xfId="0" applyFill="1"/>
    <xf numFmtId="0" fontId="8" fillId="0" borderId="0" xfId="0" applyFont="1" applyAlignment="1">
      <alignment horizontal="center"/>
    </xf>
    <xf numFmtId="173" fontId="16" fillId="0" borderId="2" xfId="1" applyNumberFormat="1" applyFont="1" applyBorder="1"/>
    <xf numFmtId="173" fontId="16" fillId="0" borderId="2" xfId="2" applyNumberFormat="1" applyFont="1" applyBorder="1"/>
    <xf numFmtId="0" fontId="15" fillId="5" borderId="20" xfId="0" applyFont="1" applyFill="1" applyBorder="1" applyAlignment="1">
      <alignment horizontal="center" wrapText="1"/>
    </xf>
    <xf numFmtId="0" fontId="15" fillId="5" borderId="22" xfId="0" applyFont="1" applyFill="1" applyBorder="1" applyAlignment="1">
      <alignment horizontal="center" wrapText="1"/>
    </xf>
    <xf numFmtId="0" fontId="15" fillId="5" borderId="21" xfId="0" applyFont="1" applyFill="1" applyBorder="1" applyAlignment="1">
      <alignment horizontal="center" wrapText="1"/>
    </xf>
    <xf numFmtId="173" fontId="16" fillId="0" borderId="1" xfId="1" applyNumberFormat="1" applyFont="1" applyBorder="1"/>
    <xf numFmtId="173" fontId="15" fillId="0" borderId="4" xfId="0" applyNumberFormat="1" applyFont="1" applyBorder="1" applyAlignment="1">
      <alignment horizontal="right"/>
    </xf>
    <xf numFmtId="173" fontId="15" fillId="0" borderId="18" xfId="0" applyNumberFormat="1" applyFont="1" applyBorder="1" applyAlignment="1">
      <alignment horizontal="right"/>
    </xf>
    <xf numFmtId="0" fontId="15" fillId="5" borderId="5" xfId="0" applyFont="1" applyFill="1" applyBorder="1" applyAlignment="1">
      <alignment horizontal="center" wrapText="1"/>
    </xf>
    <xf numFmtId="0" fontId="0" fillId="4" borderId="5" xfId="0" applyFill="1" applyBorder="1"/>
    <xf numFmtId="0" fontId="9" fillId="4" borderId="5" xfId="0" applyFont="1" applyFill="1" applyBorder="1"/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169" fontId="28" fillId="5" borderId="10" xfId="0" applyNumberFormat="1" applyFont="1" applyFill="1" applyBorder="1"/>
    <xf numFmtId="169" fontId="28" fillId="5" borderId="11" xfId="0" applyNumberFormat="1" applyFont="1" applyFill="1" applyBorder="1" applyAlignment="1">
      <alignment horizontal="center" wrapText="1"/>
    </xf>
    <xf numFmtId="169" fontId="29" fillId="0" borderId="0" xfId="0" applyNumberFormat="1" applyFont="1" applyFill="1" applyBorder="1"/>
    <xf numFmtId="165" fontId="29" fillId="4" borderId="0" xfId="1" applyNumberFormat="1" applyFont="1" applyFill="1" applyBorder="1"/>
    <xf numFmtId="169" fontId="28" fillId="5" borderId="8" xfId="0" applyNumberFormat="1" applyFont="1" applyFill="1" applyBorder="1"/>
    <xf numFmtId="169" fontId="28" fillId="5" borderId="0" xfId="0" applyNumberFormat="1" applyFont="1" applyFill="1" applyBorder="1" applyAlignment="1">
      <alignment horizontal="center" wrapText="1"/>
    </xf>
    <xf numFmtId="169" fontId="28" fillId="5" borderId="0" xfId="0" applyNumberFormat="1" applyFont="1" applyFill="1" applyBorder="1"/>
    <xf numFmtId="169" fontId="29" fillId="0" borderId="20" xfId="0" applyNumberFormat="1" applyFont="1" applyFill="1" applyBorder="1"/>
    <xf numFmtId="169" fontId="29" fillId="0" borderId="17" xfId="0" applyNumberFormat="1" applyFont="1" applyFill="1" applyBorder="1"/>
    <xf numFmtId="169" fontId="29" fillId="0" borderId="3" xfId="0" applyNumberFormat="1" applyFont="1" applyFill="1" applyBorder="1"/>
    <xf numFmtId="168" fontId="29" fillId="4" borderId="4" xfId="2" applyNumberFormat="1" applyFont="1" applyFill="1" applyBorder="1"/>
    <xf numFmtId="0" fontId="29" fillId="4" borderId="0" xfId="0" applyNumberFormat="1" applyFont="1" applyFill="1" applyBorder="1" applyAlignment="1">
      <alignment horizontal="center"/>
    </xf>
    <xf numFmtId="169" fontId="28" fillId="5" borderId="9" xfId="0" applyNumberFormat="1" applyFont="1" applyFill="1" applyBorder="1" applyAlignment="1">
      <alignment horizontal="center" wrapText="1"/>
    </xf>
    <xf numFmtId="169" fontId="28" fillId="5" borderId="0" xfId="0" applyNumberFormat="1" applyFont="1" applyFill="1" applyBorder="1" applyAlignment="1">
      <alignment horizontal="center"/>
    </xf>
    <xf numFmtId="169" fontId="28" fillId="7" borderId="8" xfId="0" applyNumberFormat="1" applyFont="1" applyFill="1" applyBorder="1"/>
    <xf numFmtId="169" fontId="28" fillId="7" borderId="0" xfId="0" applyNumberFormat="1" applyFont="1" applyFill="1" applyBorder="1" applyAlignment="1">
      <alignment horizontal="center" wrapText="1"/>
    </xf>
    <xf numFmtId="169" fontId="28" fillId="7" borderId="0" xfId="0" applyNumberFormat="1" applyFont="1" applyFill="1" applyBorder="1"/>
    <xf numFmtId="169" fontId="28" fillId="7" borderId="0" xfId="0" applyNumberFormat="1" applyFont="1" applyFill="1" applyBorder="1" applyAlignment="1">
      <alignment horizontal="center"/>
    </xf>
    <xf numFmtId="169" fontId="28" fillId="7" borderId="9" xfId="0" applyNumberFormat="1" applyFont="1" applyFill="1" applyBorder="1" applyAlignment="1">
      <alignment horizontal="center" wrapText="1"/>
    </xf>
    <xf numFmtId="165" fontId="29" fillId="4" borderId="4" xfId="1" applyNumberFormat="1" applyFont="1" applyFill="1" applyBorder="1"/>
    <xf numFmtId="165" fontId="29" fillId="4" borderId="22" xfId="1" applyNumberFormat="1" applyFont="1" applyFill="1" applyBorder="1"/>
    <xf numFmtId="0" fontId="27" fillId="0" borderId="0" xfId="0" applyFont="1" applyBorder="1"/>
    <xf numFmtId="0" fontId="18" fillId="5" borderId="6" xfId="0" applyFont="1" applyFill="1" applyBorder="1" applyAlignment="1"/>
    <xf numFmtId="0" fontId="18" fillId="5" borderId="7" xfId="0" applyFont="1" applyFill="1" applyBorder="1" applyAlignment="1"/>
    <xf numFmtId="0" fontId="28" fillId="5" borderId="11" xfId="0" applyFont="1" applyFill="1" applyBorder="1" applyAlignment="1">
      <alignment horizontal="center" wrapText="1"/>
    </xf>
    <xf numFmtId="0" fontId="28" fillId="5" borderId="12" xfId="0" applyFont="1" applyFill="1" applyBorder="1" applyAlignment="1">
      <alignment horizontal="center" wrapText="1"/>
    </xf>
    <xf numFmtId="0" fontId="19" fillId="0" borderId="0" xfId="0" applyFont="1" applyBorder="1"/>
    <xf numFmtId="168" fontId="29" fillId="4" borderId="2" xfId="2" applyNumberFormat="1" applyFont="1" applyFill="1" applyBorder="1"/>
    <xf numFmtId="168" fontId="28" fillId="4" borderId="15" xfId="2" applyNumberFormat="1" applyFont="1" applyFill="1" applyBorder="1"/>
    <xf numFmtId="0" fontId="18" fillId="7" borderId="6" xfId="0" applyFont="1" applyFill="1" applyBorder="1" applyAlignment="1"/>
    <xf numFmtId="0" fontId="18" fillId="7" borderId="7" xfId="0" applyFont="1" applyFill="1" applyBorder="1" applyAlignment="1"/>
    <xf numFmtId="0" fontId="15" fillId="7" borderId="3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4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8" fontId="16" fillId="0" borderId="18" xfId="2" applyNumberFormat="1" applyFont="1" applyBorder="1"/>
    <xf numFmtId="0" fontId="15" fillId="5" borderId="16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0" fontId="15" fillId="7" borderId="15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/>
    </xf>
    <xf numFmtId="1" fontId="8" fillId="4" borderId="0" xfId="0" applyNumberFormat="1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173" fontId="15" fillId="0" borderId="4" xfId="0" applyNumberFormat="1" applyFont="1" applyBorder="1" applyAlignment="1">
      <alignment horizontal="center"/>
    </xf>
    <xf numFmtId="173" fontId="16" fillId="0" borderId="0" xfId="1" applyNumberFormat="1" applyFont="1" applyBorder="1" applyAlignment="1">
      <alignment horizontal="center"/>
    </xf>
    <xf numFmtId="173" fontId="16" fillId="0" borderId="0" xfId="2" applyNumberFormat="1" applyFont="1" applyBorder="1" applyAlignment="1">
      <alignment horizontal="center"/>
    </xf>
    <xf numFmtId="173" fontId="15" fillId="0" borderId="0" xfId="0" applyNumberFormat="1" applyFont="1" applyBorder="1" applyAlignment="1">
      <alignment horizontal="center"/>
    </xf>
    <xf numFmtId="173" fontId="15" fillId="0" borderId="18" xfId="0" applyNumberFormat="1" applyFont="1" applyBorder="1" applyAlignment="1">
      <alignment horizontal="center"/>
    </xf>
    <xf numFmtId="0" fontId="15" fillId="7" borderId="3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wrapText="1"/>
    </xf>
    <xf numFmtId="0" fontId="28" fillId="0" borderId="14" xfId="0" applyFont="1" applyBorder="1"/>
    <xf numFmtId="0" fontId="28" fillId="0" borderId="15" xfId="0" applyFont="1" applyBorder="1" applyAlignment="1">
      <alignment horizontal="center"/>
    </xf>
    <xf numFmtId="165" fontId="28" fillId="0" borderId="15" xfId="0" applyNumberFormat="1" applyFont="1" applyBorder="1"/>
    <xf numFmtId="0" fontId="28" fillId="0" borderId="15" xfId="0" applyFont="1" applyBorder="1"/>
    <xf numFmtId="168" fontId="28" fillId="0" borderId="16" xfId="0" applyNumberFormat="1" applyFont="1" applyBorder="1"/>
    <xf numFmtId="168" fontId="28" fillId="0" borderId="15" xfId="0" applyNumberFormat="1" applyFont="1" applyBorder="1"/>
    <xf numFmtId="165" fontId="18" fillId="0" borderId="0" xfId="1" applyNumberFormat="1" applyFont="1" applyBorder="1"/>
    <xf numFmtId="0" fontId="28" fillId="7" borderId="0" xfId="0" applyFont="1" applyFill="1" applyBorder="1" applyAlignment="1">
      <alignment horizontal="center" wrapText="1"/>
    </xf>
    <xf numFmtId="0" fontId="28" fillId="7" borderId="9" xfId="0" applyFont="1" applyFill="1" applyBorder="1" applyAlignment="1">
      <alignment horizontal="center" wrapText="1"/>
    </xf>
    <xf numFmtId="168" fontId="29" fillId="0" borderId="1" xfId="2" applyNumberFormat="1" applyFont="1" applyBorder="1"/>
    <xf numFmtId="168" fontId="29" fillId="0" borderId="18" xfId="2" applyNumberFormat="1" applyFont="1" applyBorder="1"/>
    <xf numFmtId="165" fontId="29" fillId="0" borderId="1" xfId="1" applyNumberFormat="1" applyFont="1" applyBorder="1"/>
    <xf numFmtId="165" fontId="29" fillId="0" borderId="18" xfId="1" applyNumberFormat="1" applyFont="1" applyBorder="1"/>
    <xf numFmtId="165" fontId="29" fillId="0" borderId="2" xfId="1" applyNumberFormat="1" applyFont="1" applyBorder="1"/>
    <xf numFmtId="165" fontId="29" fillId="0" borderId="4" xfId="1" applyNumberFormat="1" applyFont="1" applyBorder="1"/>
    <xf numFmtId="165" fontId="29" fillId="0" borderId="0" xfId="1" applyNumberFormat="1" applyFont="1" applyBorder="1"/>
    <xf numFmtId="168" fontId="29" fillId="0" borderId="2" xfId="2" applyNumberFormat="1" applyFont="1" applyBorder="1"/>
    <xf numFmtId="168" fontId="29" fillId="0" borderId="4" xfId="2" applyNumberFormat="1" applyFont="1" applyBorder="1"/>
    <xf numFmtId="0" fontId="17" fillId="0" borderId="0" xfId="0" applyFont="1" applyBorder="1" applyAlignment="1">
      <alignment horizontal="left" vertical="top"/>
    </xf>
    <xf numFmtId="0" fontId="8" fillId="0" borderId="0" xfId="0" applyFont="1" applyAlignment="1"/>
    <xf numFmtId="0" fontId="9" fillId="0" borderId="3" xfId="0" applyFont="1" applyBorder="1"/>
    <xf numFmtId="0" fontId="7" fillId="0" borderId="4" xfId="0" applyFont="1" applyBorder="1" applyAlignment="1">
      <alignment horizontal="center"/>
    </xf>
    <xf numFmtId="0" fontId="30" fillId="0" borderId="3" xfId="0" applyFont="1" applyBorder="1"/>
    <xf numFmtId="0" fontId="31" fillId="0" borderId="0" xfId="0" applyFont="1"/>
    <xf numFmtId="0" fontId="7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 wrapText="1"/>
    </xf>
    <xf numFmtId="0" fontId="29" fillId="4" borderId="3" xfId="0" applyFont="1" applyFill="1" applyBorder="1"/>
    <xf numFmtId="0" fontId="29" fillId="4" borderId="2" xfId="0" applyFont="1" applyFill="1" applyBorder="1"/>
    <xf numFmtId="0" fontId="29" fillId="0" borderId="3" xfId="0" applyFont="1" applyBorder="1"/>
    <xf numFmtId="0" fontId="29" fillId="0" borderId="2" xfId="0" applyFont="1" applyBorder="1" applyAlignment="1">
      <alignment horizontal="center"/>
    </xf>
    <xf numFmtId="0" fontId="28" fillId="0" borderId="3" xfId="0" applyFont="1" applyBorder="1"/>
    <xf numFmtId="0" fontId="28" fillId="0" borderId="2" xfId="0" applyFont="1" applyBorder="1" applyAlignment="1">
      <alignment horizontal="center"/>
    </xf>
    <xf numFmtId="168" fontId="28" fillId="0" borderId="2" xfId="2" applyNumberFormat="1" applyFont="1" applyBorder="1"/>
    <xf numFmtId="168" fontId="28" fillId="0" borderId="4" xfId="2" applyNumberFormat="1" applyFont="1" applyBorder="1"/>
    <xf numFmtId="174" fontId="29" fillId="4" borderId="0" xfId="1" applyNumberFormat="1" applyFont="1" applyFill="1" applyBorder="1"/>
    <xf numFmtId="165" fontId="29" fillId="0" borderId="0" xfId="1" applyNumberFormat="1" applyFont="1" applyFill="1" applyBorder="1"/>
    <xf numFmtId="165" fontId="8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7" fillId="7" borderId="2" xfId="1" applyNumberFormat="1" applyFont="1" applyFill="1" applyBorder="1" applyAlignment="1">
      <alignment horizontal="center"/>
    </xf>
    <xf numFmtId="165" fontId="7" fillId="6" borderId="2" xfId="1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6" fillId="0" borderId="3" xfId="0" applyFont="1" applyBorder="1" applyAlignment="1">
      <alignment horizontal="left"/>
    </xf>
    <xf numFmtId="1" fontId="0" fillId="0" borderId="0" xfId="0" applyNumberFormat="1"/>
    <xf numFmtId="168" fontId="7" fillId="0" borderId="2" xfId="2" applyNumberFormat="1" applyFont="1" applyBorder="1" applyAlignment="1">
      <alignment horizontal="center"/>
    </xf>
    <xf numFmtId="168" fontId="7" fillId="0" borderId="4" xfId="2" applyNumberFormat="1" applyFont="1" applyBorder="1" applyAlignment="1">
      <alignment horizontal="center"/>
    </xf>
    <xf numFmtId="168" fontId="8" fillId="0" borderId="0" xfId="2" applyNumberFormat="1" applyFont="1" applyAlignment="1">
      <alignment horizontal="center"/>
    </xf>
    <xf numFmtId="168" fontId="30" fillId="0" borderId="2" xfId="2" applyNumberFormat="1" applyFont="1" applyBorder="1" applyAlignment="1">
      <alignment horizontal="center"/>
    </xf>
    <xf numFmtId="168" fontId="30" fillId="0" borderId="4" xfId="2" applyNumberFormat="1" applyFont="1" applyBorder="1" applyAlignment="1">
      <alignment horizontal="center"/>
    </xf>
    <xf numFmtId="0" fontId="33" fillId="5" borderId="3" xfId="0" applyFont="1" applyFill="1" applyBorder="1" applyAlignment="1">
      <alignment horizontal="center" wrapText="1"/>
    </xf>
    <xf numFmtId="164" fontId="16" fillId="0" borderId="0" xfId="1" applyNumberFormat="1" applyFont="1" applyBorder="1"/>
    <xf numFmtId="165" fontId="16" fillId="0" borderId="0" xfId="1" applyNumberFormat="1" applyFont="1" applyBorder="1" applyProtection="1">
      <protection locked="0"/>
    </xf>
    <xf numFmtId="10" fontId="16" fillId="0" borderId="0" xfId="3" applyNumberFormat="1" applyFont="1" applyBorder="1"/>
    <xf numFmtId="0" fontId="33" fillId="7" borderId="3" xfId="0" applyFont="1" applyFill="1" applyBorder="1" applyAlignment="1">
      <alignment horizontal="center" wrapText="1"/>
    </xf>
    <xf numFmtId="0" fontId="8" fillId="0" borderId="0" xfId="0" applyFont="1" applyBorder="1"/>
    <xf numFmtId="168" fontId="16" fillId="4" borderId="0" xfId="2" applyNumberFormat="1" applyFont="1" applyFill="1" applyBorder="1"/>
    <xf numFmtId="0" fontId="10" fillId="0" borderId="0" xfId="0" applyFont="1"/>
    <xf numFmtId="0" fontId="35" fillId="0" borderId="0" xfId="0" applyFont="1"/>
    <xf numFmtId="0" fontId="34" fillId="0" borderId="24" xfId="0" applyFont="1" applyBorder="1" applyAlignment="1">
      <alignment horizontal="left"/>
    </xf>
    <xf numFmtId="0" fontId="34" fillId="0" borderId="24" xfId="0" applyFont="1" applyFill="1" applyBorder="1" applyAlignment="1">
      <alignment horizontal="left"/>
    </xf>
    <xf numFmtId="0" fontId="35" fillId="0" borderId="0" xfId="0" applyFont="1" applyFill="1"/>
    <xf numFmtId="0" fontId="36" fillId="0" borderId="0" xfId="0" applyFont="1" applyBorder="1"/>
    <xf numFmtId="0" fontId="35" fillId="0" borderId="0" xfId="0" applyFont="1" applyBorder="1"/>
    <xf numFmtId="0" fontId="35" fillId="0" borderId="0" xfId="0" applyFont="1" applyFill="1" applyBorder="1"/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37" fontId="35" fillId="0" borderId="0" xfId="0" applyNumberFormat="1" applyFont="1" applyFill="1" applyBorder="1"/>
    <xf numFmtId="0" fontId="35" fillId="0" borderId="0" xfId="0" applyFont="1" applyBorder="1" applyAlignment="1">
      <alignment horizontal="left" indent="1"/>
    </xf>
    <xf numFmtId="42" fontId="35" fillId="0" borderId="0" xfId="0" applyNumberFormat="1" applyFont="1" applyBorder="1"/>
    <xf numFmtId="41" fontId="35" fillId="0" borderId="0" xfId="0" applyNumberFormat="1" applyFont="1" applyBorder="1"/>
    <xf numFmtId="41" fontId="35" fillId="0" borderId="1" xfId="0" applyNumberFormat="1" applyFont="1" applyBorder="1"/>
    <xf numFmtId="0" fontId="36" fillId="0" borderId="0" xfId="0" applyFont="1" applyBorder="1" applyAlignment="1">
      <alignment horizontal="left" indent="2"/>
    </xf>
    <xf numFmtId="42" fontId="36" fillId="0" borderId="0" xfId="0" applyNumberFormat="1" applyFont="1" applyBorder="1"/>
    <xf numFmtId="0" fontId="36" fillId="0" borderId="0" xfId="0" applyFont="1"/>
    <xf numFmtId="41" fontId="35" fillId="0" borderId="0" xfId="0" applyNumberFormat="1" applyFont="1" applyFill="1" applyBorder="1"/>
    <xf numFmtId="42" fontId="36" fillId="0" borderId="0" xfId="0" applyNumberFormat="1" applyFont="1" applyFill="1" applyBorder="1"/>
    <xf numFmtId="41" fontId="36" fillId="0" borderId="0" xfId="0" applyNumberFormat="1" applyFont="1" applyFill="1" applyBorder="1"/>
    <xf numFmtId="41" fontId="35" fillId="0" borderId="0" xfId="0" applyNumberFormat="1" applyFont="1" applyFill="1"/>
    <xf numFmtId="42" fontId="35" fillId="0" borderId="0" xfId="0" applyNumberFormat="1" applyFont="1"/>
    <xf numFmtId="42" fontId="36" fillId="0" borderId="0" xfId="0" applyNumberFormat="1" applyFont="1" applyFill="1"/>
    <xf numFmtId="41" fontId="36" fillId="0" borderId="0" xfId="0" applyNumberFormat="1" applyFont="1" applyFill="1"/>
    <xf numFmtId="37" fontId="36" fillId="0" borderId="0" xfId="0" applyNumberFormat="1" applyFont="1" applyFill="1" applyBorder="1"/>
    <xf numFmtId="0" fontId="37" fillId="0" borderId="25" xfId="0" applyFont="1" applyBorder="1" applyAlignment="1">
      <alignment horizontal="right"/>
    </xf>
    <xf numFmtId="44" fontId="35" fillId="0" borderId="0" xfId="2" applyNumberFormat="1" applyFont="1"/>
    <xf numFmtId="0" fontId="36" fillId="0" borderId="0" xfId="0" applyFont="1" applyBorder="1" applyAlignment="1"/>
    <xf numFmtId="37" fontId="36" fillId="0" borderId="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5" fontId="35" fillId="0" borderId="0" xfId="1" applyNumberFormat="1" applyFont="1"/>
    <xf numFmtId="165" fontId="35" fillId="0" borderId="0" xfId="1" applyNumberFormat="1" applyFont="1" applyFill="1"/>
    <xf numFmtId="168" fontId="35" fillId="0" borderId="0" xfId="2" applyNumberFormat="1" applyFont="1"/>
    <xf numFmtId="165" fontId="38" fillId="0" borderId="0" xfId="1" applyNumberFormat="1" applyFont="1"/>
    <xf numFmtId="42" fontId="39" fillId="0" borderId="0" xfId="0" applyNumberFormat="1" applyFont="1" applyBorder="1"/>
    <xf numFmtId="0" fontId="36" fillId="0" borderId="14" xfId="0" applyFont="1" applyBorder="1"/>
    <xf numFmtId="37" fontId="36" fillId="0" borderId="15" xfId="0" applyNumberFormat="1" applyFont="1" applyFill="1" applyBorder="1"/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165" fontId="36" fillId="0" borderId="14" xfId="1" applyNumberFormat="1" applyFont="1" applyBorder="1"/>
    <xf numFmtId="43" fontId="36" fillId="0" borderId="16" xfId="1" applyNumberFormat="1" applyFont="1" applyBorder="1"/>
    <xf numFmtId="0" fontId="35" fillId="0" borderId="15" xfId="0" applyFont="1" applyBorder="1"/>
    <xf numFmtId="164" fontId="8" fillId="0" borderId="0" xfId="1" applyNumberFormat="1" applyFont="1"/>
    <xf numFmtId="174" fontId="8" fillId="0" borderId="0" xfId="1" applyNumberFormat="1" applyFont="1"/>
    <xf numFmtId="175" fontId="28" fillId="4" borderId="15" xfId="1" applyNumberFormat="1" applyFont="1" applyFill="1" applyBorder="1" applyAlignment="1">
      <alignment horizontal="center"/>
    </xf>
    <xf numFmtId="43" fontId="18" fillId="0" borderId="0" xfId="1" applyFont="1" applyBorder="1"/>
    <xf numFmtId="0" fontId="28" fillId="4" borderId="0" xfId="0" applyFont="1" applyFill="1" applyBorder="1" applyAlignment="1">
      <alignment horizontal="center" wrapText="1"/>
    </xf>
    <xf numFmtId="169" fontId="28" fillId="4" borderId="17" xfId="0" applyNumberFormat="1" applyFont="1" applyFill="1" applyBorder="1"/>
    <xf numFmtId="169" fontId="28" fillId="4" borderId="1" xfId="0" applyNumberFormat="1" applyFont="1" applyFill="1" applyBorder="1" applyAlignment="1">
      <alignment horizontal="center" wrapText="1"/>
    </xf>
    <xf numFmtId="165" fontId="29" fillId="0" borderId="19" xfId="1" applyNumberFormat="1" applyFont="1" applyBorder="1"/>
    <xf numFmtId="0" fontId="28" fillId="5" borderId="26" xfId="0" applyFont="1" applyFill="1" applyBorder="1" applyAlignment="1">
      <alignment horizontal="center" wrapText="1"/>
    </xf>
    <xf numFmtId="44" fontId="18" fillId="0" borderId="0" xfId="0" applyNumberFormat="1" applyFont="1" applyBorder="1"/>
    <xf numFmtId="168" fontId="28" fillId="0" borderId="28" xfId="0" applyNumberFormat="1" applyFont="1" applyBorder="1"/>
    <xf numFmtId="168" fontId="28" fillId="0" borderId="29" xfId="0" applyNumberFormat="1" applyFont="1" applyBorder="1"/>
    <xf numFmtId="0" fontId="28" fillId="5" borderId="30" xfId="0" applyFont="1" applyFill="1" applyBorder="1" applyAlignment="1">
      <alignment horizontal="center" wrapText="1"/>
    </xf>
    <xf numFmtId="0" fontId="28" fillId="7" borderId="31" xfId="0" applyFont="1" applyFill="1" applyBorder="1" applyAlignment="1">
      <alignment horizontal="center" vertical="top" wrapText="1"/>
    </xf>
    <xf numFmtId="0" fontId="28" fillId="7" borderId="32" xfId="0" applyFont="1" applyFill="1" applyBorder="1" applyAlignment="1">
      <alignment horizontal="center" vertical="top" wrapText="1"/>
    </xf>
    <xf numFmtId="0" fontId="40" fillId="0" borderId="0" xfId="0" applyFont="1" applyBorder="1"/>
    <xf numFmtId="42" fontId="36" fillId="0" borderId="15" xfId="0" applyNumberFormat="1" applyFont="1" applyBorder="1"/>
    <xf numFmtId="0" fontId="7" fillId="7" borderId="5" xfId="0" applyFont="1" applyFill="1" applyBorder="1" applyAlignment="1">
      <alignment horizontal="center" wrapText="1"/>
    </xf>
    <xf numFmtId="0" fontId="35" fillId="0" borderId="27" xfId="0" applyFont="1" applyBorder="1"/>
    <xf numFmtId="0" fontId="7" fillId="8" borderId="5" xfId="0" applyFont="1" applyFill="1" applyBorder="1" applyAlignment="1">
      <alignment horizontal="center" wrapText="1"/>
    </xf>
    <xf numFmtId="165" fontId="35" fillId="0" borderId="27" xfId="1" applyNumberFormat="1" applyFont="1" applyBorder="1"/>
    <xf numFmtId="165" fontId="35" fillId="0" borderId="19" xfId="1" applyNumberFormat="1" applyFont="1" applyBorder="1"/>
    <xf numFmtId="168" fontId="36" fillId="0" borderId="27" xfId="2" applyNumberFormat="1" applyFont="1" applyBorder="1"/>
    <xf numFmtId="168" fontId="36" fillId="0" borderId="28" xfId="2" applyNumberFormat="1" applyFont="1" applyBorder="1"/>
    <xf numFmtId="168" fontId="36" fillId="0" borderId="29" xfId="2" applyNumberFormat="1" applyFont="1" applyBorder="1"/>
    <xf numFmtId="165" fontId="39" fillId="0" borderId="27" xfId="1" applyNumberFormat="1" applyFont="1" applyBorder="1"/>
    <xf numFmtId="0" fontId="41" fillId="0" borderId="0" xfId="0" applyFont="1" applyBorder="1"/>
    <xf numFmtId="0" fontId="29" fillId="0" borderId="0" xfId="0" applyFont="1" applyBorder="1"/>
    <xf numFmtId="0" fontId="8" fillId="0" borderId="4" xfId="0" applyFont="1" applyBorder="1" applyAlignment="1">
      <alignment horizontal="left"/>
    </xf>
    <xf numFmtId="169" fontId="21" fillId="0" borderId="3" xfId="0" applyNumberFormat="1" applyFont="1" applyFill="1" applyBorder="1"/>
    <xf numFmtId="175" fontId="21" fillId="4" borderId="2" xfId="1" applyNumberFormat="1" applyFont="1" applyFill="1" applyBorder="1" applyAlignment="1">
      <alignment horizontal="left"/>
    </xf>
    <xf numFmtId="175" fontId="21" fillId="4" borderId="1" xfId="1" applyNumberFormat="1" applyFont="1" applyFill="1" applyBorder="1" applyAlignment="1">
      <alignment horizontal="left"/>
    </xf>
    <xf numFmtId="165" fontId="21" fillId="0" borderId="19" xfId="1" applyNumberFormat="1" applyFont="1" applyBorder="1"/>
    <xf numFmtId="169" fontId="22" fillId="4" borderId="2" xfId="0" applyNumberFormat="1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vertical="top" wrapText="1"/>
    </xf>
    <xf numFmtId="169" fontId="21" fillId="0" borderId="17" xfId="0" applyNumberFormat="1" applyFont="1" applyFill="1" applyBorder="1"/>
    <xf numFmtId="175" fontId="21" fillId="4" borderId="1" xfId="1" applyNumberFormat="1" applyFont="1" applyFill="1" applyBorder="1" applyAlignment="1">
      <alignment horizontal="center"/>
    </xf>
    <xf numFmtId="0" fontId="22" fillId="0" borderId="14" xfId="0" applyFont="1" applyBorder="1"/>
    <xf numFmtId="175" fontId="22" fillId="4" borderId="15" xfId="1" applyNumberFormat="1" applyFont="1" applyFill="1" applyBorder="1" applyAlignment="1">
      <alignment horizontal="center"/>
    </xf>
    <xf numFmtId="168" fontId="22" fillId="0" borderId="28" xfId="0" applyNumberFormat="1" applyFont="1" applyBorder="1"/>
    <xf numFmtId="168" fontId="22" fillId="0" borderId="29" xfId="0" applyNumberFormat="1" applyFont="1" applyBorder="1"/>
    <xf numFmtId="0" fontId="42" fillId="0" borderId="0" xfId="0" applyFont="1" applyBorder="1"/>
    <xf numFmtId="0" fontId="43" fillId="0" borderId="0" xfId="0" applyFont="1" applyBorder="1"/>
    <xf numFmtId="0" fontId="22" fillId="4" borderId="13" xfId="0" applyFont="1" applyFill="1" applyBorder="1" applyAlignment="1">
      <alignment horizontal="left" vertical="top"/>
    </xf>
    <xf numFmtId="0" fontId="22" fillId="4" borderId="6" xfId="0" applyFont="1" applyFill="1" applyBorder="1" applyAlignment="1">
      <alignment horizontal="left" vertical="top"/>
    </xf>
    <xf numFmtId="0" fontId="22" fillId="7" borderId="30" xfId="0" applyFont="1" applyFill="1" applyBorder="1" applyAlignment="1">
      <alignment horizontal="center" wrapText="1"/>
    </xf>
    <xf numFmtId="0" fontId="22" fillId="6" borderId="30" xfId="0" applyFont="1" applyFill="1" applyBorder="1" applyAlignment="1">
      <alignment horizontal="center" wrapText="1"/>
    </xf>
    <xf numFmtId="169" fontId="22" fillId="4" borderId="8" xfId="0" applyNumberFormat="1" applyFont="1" applyFill="1" applyBorder="1"/>
    <xf numFmtId="169" fontId="22" fillId="4" borderId="0" xfId="0" applyNumberFormat="1" applyFont="1" applyFill="1" applyBorder="1" applyAlignment="1">
      <alignment horizontal="center" wrapText="1"/>
    </xf>
    <xf numFmtId="169" fontId="21" fillId="4" borderId="3" xfId="0" applyNumberFormat="1" applyFont="1" applyFill="1" applyBorder="1"/>
    <xf numFmtId="0" fontId="44" fillId="3" borderId="0" xfId="0" applyFont="1" applyFill="1" applyBorder="1"/>
    <xf numFmtId="0" fontId="45" fillId="3" borderId="0" xfId="0" applyFont="1" applyFill="1" applyBorder="1"/>
    <xf numFmtId="165" fontId="3" fillId="0" borderId="0" xfId="1" applyNumberFormat="1" applyFont="1"/>
    <xf numFmtId="0" fontId="8" fillId="2" borderId="0" xfId="0" applyFont="1" applyFill="1"/>
    <xf numFmtId="165" fontId="8" fillId="2" borderId="0" xfId="1" applyNumberFormat="1" applyFont="1" applyFill="1"/>
    <xf numFmtId="44" fontId="36" fillId="0" borderId="0" xfId="0" applyNumberFormat="1" applyFont="1"/>
    <xf numFmtId="0" fontId="22" fillId="6" borderId="23" xfId="0" applyFont="1" applyFill="1" applyBorder="1" applyAlignment="1">
      <alignment horizontal="center" wrapText="1"/>
    </xf>
    <xf numFmtId="0" fontId="22" fillId="7" borderId="19" xfId="0" applyFont="1" applyFill="1" applyBorder="1" applyAlignment="1">
      <alignment horizontal="center" vertical="top" wrapText="1"/>
    </xf>
    <xf numFmtId="0" fontId="46" fillId="0" borderId="0" xfId="0" applyFont="1"/>
    <xf numFmtId="0" fontId="9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left" vertical="top"/>
    </xf>
    <xf numFmtId="0" fontId="9" fillId="7" borderId="10" xfId="0" applyFont="1" applyFill="1" applyBorder="1" applyAlignment="1">
      <alignment horizontal="left" vertical="top"/>
    </xf>
    <xf numFmtId="0" fontId="47" fillId="4" borderId="0" xfId="0" applyFont="1" applyFill="1" applyBorder="1" applyAlignment="1">
      <alignment horizontal="left" vertical="top"/>
    </xf>
    <xf numFmtId="0" fontId="48" fillId="4" borderId="0" xfId="0" applyFont="1" applyFill="1" applyBorder="1" applyAlignment="1">
      <alignment horizontal="center"/>
    </xf>
    <xf numFmtId="169" fontId="21" fillId="0" borderId="0" xfId="0" applyNumberFormat="1" applyFont="1" applyFill="1" applyBorder="1"/>
    <xf numFmtId="0" fontId="46" fillId="0" borderId="0" xfId="0" applyFont="1" applyAlignment="1">
      <alignment horizontal="left"/>
    </xf>
    <xf numFmtId="0" fontId="9" fillId="6" borderId="13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left" vertical="top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2" borderId="3" xfId="0" applyFont="1" applyFill="1" applyBorder="1"/>
    <xf numFmtId="168" fontId="7" fillId="2" borderId="2" xfId="2" applyNumberFormat="1" applyFont="1" applyFill="1" applyBorder="1" applyAlignment="1">
      <alignment horizontal="center"/>
    </xf>
    <xf numFmtId="168" fontId="7" fillId="2" borderId="4" xfId="2" applyNumberFormat="1" applyFont="1" applyFill="1" applyBorder="1" applyAlignment="1">
      <alignment horizontal="center"/>
    </xf>
    <xf numFmtId="173" fontId="15" fillId="4" borderId="0" xfId="0" applyNumberFormat="1" applyFont="1" applyFill="1" applyBorder="1" applyAlignment="1">
      <alignment horizontal="center"/>
    </xf>
    <xf numFmtId="0" fontId="3" fillId="0" borderId="8" xfId="0" applyFont="1" applyBorder="1"/>
    <xf numFmtId="174" fontId="18" fillId="0" borderId="5" xfId="1" applyNumberFormat="1" applyFont="1" applyBorder="1" applyAlignment="1">
      <alignment horizontal="center"/>
    </xf>
    <xf numFmtId="0" fontId="19" fillId="0" borderId="0" xfId="0" applyFont="1" applyBorder="1" applyAlignment="1">
      <alignment horizontal="centerContinuous" wrapText="1"/>
    </xf>
    <xf numFmtId="0" fontId="19" fillId="0" borderId="5" xfId="0" applyFont="1" applyBorder="1"/>
    <xf numFmtId="0" fontId="19" fillId="0" borderId="13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8" fillId="0" borderId="3" xfId="0" applyFont="1" applyBorder="1"/>
    <xf numFmtId="165" fontId="18" fillId="0" borderId="2" xfId="1" applyNumberFormat="1" applyFont="1" applyBorder="1"/>
    <xf numFmtId="165" fontId="18" fillId="0" borderId="4" xfId="1" applyNumberFormat="1" applyFont="1" applyBorder="1"/>
    <xf numFmtId="0" fontId="2" fillId="0" borderId="0" xfId="0" applyFont="1" applyBorder="1"/>
    <xf numFmtId="0" fontId="16" fillId="0" borderId="5" xfId="0" applyFont="1" applyBorder="1"/>
    <xf numFmtId="0" fontId="15" fillId="0" borderId="5" xfId="0" applyFont="1" applyBorder="1"/>
    <xf numFmtId="0" fontId="3" fillId="4" borderId="0" xfId="0" applyFont="1" applyFill="1" applyBorder="1"/>
    <xf numFmtId="165" fontId="0" fillId="0" borderId="0" xfId="1" applyNumberFormat="1" applyFont="1" applyAlignment="1">
      <alignment horizontal="center"/>
    </xf>
    <xf numFmtId="165" fontId="8" fillId="0" borderId="0" xfId="1" applyNumberFormat="1" applyFont="1" applyBorder="1"/>
    <xf numFmtId="165" fontId="3" fillId="0" borderId="0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6" borderId="20" xfId="0" applyFont="1" applyFill="1" applyBorder="1"/>
    <xf numFmtId="165" fontId="8" fillId="6" borderId="21" xfId="1" applyNumberFormat="1" applyFont="1" applyFill="1" applyBorder="1"/>
    <xf numFmtId="165" fontId="8" fillId="6" borderId="22" xfId="1" applyNumberFormat="1" applyFont="1" applyFill="1" applyBorder="1"/>
    <xf numFmtId="0" fontId="8" fillId="6" borderId="36" xfId="0" applyFont="1" applyFill="1" applyBorder="1"/>
    <xf numFmtId="165" fontId="8" fillId="6" borderId="0" xfId="1" applyNumberFormat="1" applyFont="1" applyFill="1" applyBorder="1"/>
    <xf numFmtId="165" fontId="8" fillId="6" borderId="23" xfId="1" applyNumberFormat="1" applyFont="1" applyFill="1" applyBorder="1"/>
    <xf numFmtId="0" fontId="8" fillId="6" borderId="17" xfId="0" applyFont="1" applyFill="1" applyBorder="1"/>
    <xf numFmtId="165" fontId="8" fillId="6" borderId="1" xfId="1" applyNumberFormat="1" applyFont="1" applyFill="1" applyBorder="1"/>
    <xf numFmtId="165" fontId="8" fillId="6" borderId="18" xfId="1" applyNumberFormat="1" applyFont="1" applyFill="1" applyBorder="1"/>
    <xf numFmtId="165" fontId="11" fillId="0" borderId="0" xfId="0" applyNumberFormat="1" applyFont="1" applyBorder="1"/>
    <xf numFmtId="168" fontId="7" fillId="0" borderId="0" xfId="2" applyNumberFormat="1" applyFont="1"/>
    <xf numFmtId="0" fontId="8" fillId="10" borderId="20" xfId="0" applyFont="1" applyFill="1" applyBorder="1"/>
    <xf numFmtId="165" fontId="8" fillId="10" borderId="21" xfId="1" applyNumberFormat="1" applyFont="1" applyFill="1" applyBorder="1"/>
    <xf numFmtId="165" fontId="8" fillId="10" borderId="22" xfId="1" applyNumberFormat="1" applyFont="1" applyFill="1" applyBorder="1"/>
    <xf numFmtId="0" fontId="8" fillId="10" borderId="36" xfId="0" applyFont="1" applyFill="1" applyBorder="1"/>
    <xf numFmtId="165" fontId="8" fillId="10" borderId="0" xfId="1" applyNumberFormat="1" applyFont="1" applyFill="1" applyBorder="1"/>
    <xf numFmtId="165" fontId="8" fillId="10" borderId="23" xfId="1" applyNumberFormat="1" applyFont="1" applyFill="1" applyBorder="1"/>
    <xf numFmtId="0" fontId="8" fillId="10" borderId="17" xfId="0" applyFont="1" applyFill="1" applyBorder="1"/>
    <xf numFmtId="165" fontId="8" fillId="10" borderId="1" xfId="1" applyNumberFormat="1" applyFont="1" applyFill="1" applyBorder="1"/>
    <xf numFmtId="174" fontId="8" fillId="10" borderId="1" xfId="1" applyNumberFormat="1" applyFont="1" applyFill="1" applyBorder="1"/>
    <xf numFmtId="165" fontId="8" fillId="10" borderId="18" xfId="1" applyNumberFormat="1" applyFont="1" applyFill="1" applyBorder="1"/>
    <xf numFmtId="165" fontId="49" fillId="0" borderId="0" xfId="1" applyNumberFormat="1" applyFont="1"/>
    <xf numFmtId="165" fontId="8" fillId="0" borderId="5" xfId="1" applyNumberFormat="1" applyFont="1" applyBorder="1" applyAlignment="1">
      <alignment horizontal="center" vertical="center" wrapText="1"/>
    </xf>
    <xf numFmtId="165" fontId="7" fillId="6" borderId="0" xfId="1" applyNumberFormat="1" applyFont="1" applyFill="1"/>
    <xf numFmtId="165" fontId="8" fillId="6" borderId="5" xfId="1" applyNumberFormat="1" applyFont="1" applyFill="1" applyBorder="1"/>
    <xf numFmtId="168" fontId="8" fillId="6" borderId="5" xfId="2" applyNumberFormat="1" applyFont="1" applyFill="1" applyBorder="1"/>
    <xf numFmtId="165" fontId="7" fillId="7" borderId="0" xfId="1" applyNumberFormat="1" applyFont="1" applyFill="1"/>
    <xf numFmtId="165" fontId="8" fillId="7" borderId="5" xfId="1" applyNumberFormat="1" applyFont="1" applyFill="1" applyBorder="1"/>
    <xf numFmtId="168" fontId="8" fillId="7" borderId="5" xfId="2" applyNumberFormat="1" applyFont="1" applyFill="1" applyBorder="1"/>
    <xf numFmtId="168" fontId="15" fillId="0" borderId="4" xfId="2" applyNumberFormat="1" applyFont="1" applyBorder="1"/>
    <xf numFmtId="0" fontId="48" fillId="0" borderId="0" xfId="0" applyFont="1"/>
    <xf numFmtId="0" fontId="28" fillId="0" borderId="0" xfId="0" applyFont="1" applyBorder="1"/>
    <xf numFmtId="0" fontId="50" fillId="0" borderId="0" xfId="0" applyFont="1" applyBorder="1"/>
    <xf numFmtId="0" fontId="51" fillId="0" borderId="0" xfId="0" applyFont="1"/>
    <xf numFmtId="0" fontId="2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6" fillId="0" borderId="0" xfId="0" applyFont="1" applyBorder="1"/>
    <xf numFmtId="0" fontId="19" fillId="0" borderId="3" xfId="0" applyFont="1" applyBorder="1"/>
    <xf numFmtId="0" fontId="19" fillId="0" borderId="2" xfId="0" applyFont="1" applyBorder="1"/>
    <xf numFmtId="165" fontId="19" fillId="0" borderId="4" xfId="0" applyNumberFormat="1" applyFont="1" applyBorder="1"/>
    <xf numFmtId="0" fontId="29" fillId="0" borderId="0" xfId="0" applyFont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18" fillId="11" borderId="2" xfId="0" applyFont="1" applyFill="1" applyBorder="1"/>
    <xf numFmtId="0" fontId="18" fillId="11" borderId="3" xfId="0" applyFont="1" applyFill="1" applyBorder="1"/>
    <xf numFmtId="0" fontId="52" fillId="0" borderId="0" xfId="0" applyFont="1"/>
    <xf numFmtId="0" fontId="53" fillId="0" borderId="0" xfId="0" applyFont="1" applyFill="1" applyBorder="1"/>
    <xf numFmtId="0" fontId="52" fillId="0" borderId="0" xfId="0" applyFont="1" applyFill="1" applyBorder="1"/>
    <xf numFmtId="0" fontId="15" fillId="12" borderId="3" xfId="0" applyFont="1" applyFill="1" applyBorder="1" applyAlignment="1">
      <alignment horizontal="left"/>
    </xf>
    <xf numFmtId="165" fontId="16" fillId="12" borderId="2" xfId="1" applyNumberFormat="1" applyFont="1" applyFill="1" applyBorder="1"/>
    <xf numFmtId="165" fontId="16" fillId="12" borderId="4" xfId="1" applyNumberFormat="1" applyFont="1" applyFill="1" applyBorder="1"/>
    <xf numFmtId="168" fontId="0" fillId="4" borderId="0" xfId="2" applyNumberFormat="1" applyFont="1" applyFill="1" applyBorder="1"/>
    <xf numFmtId="44" fontId="16" fillId="0" borderId="5" xfId="2" applyFont="1" applyBorder="1"/>
    <xf numFmtId="44" fontId="15" fillId="0" borderId="5" xfId="2" applyFont="1" applyBorder="1"/>
    <xf numFmtId="168" fontId="15" fillId="0" borderId="5" xfId="2" applyNumberFormat="1" applyFont="1" applyBorder="1"/>
    <xf numFmtId="0" fontId="15" fillId="7" borderId="36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6" fillId="0" borderId="3" xfId="0" applyFont="1" applyBorder="1"/>
    <xf numFmtId="0" fontId="15" fillId="0" borderId="3" xfId="0" applyFont="1" applyBorder="1"/>
    <xf numFmtId="0" fontId="15" fillId="7" borderId="23" xfId="0" applyFont="1" applyFill="1" applyBorder="1" applyAlignment="1">
      <alignment horizontal="center" wrapText="1"/>
    </xf>
    <xf numFmtId="43" fontId="16" fillId="0" borderId="5" xfId="1" applyNumberFormat="1" applyFont="1" applyBorder="1"/>
    <xf numFmtId="165" fontId="16" fillId="4" borderId="4" xfId="1" applyNumberFormat="1" applyFont="1" applyFill="1" applyBorder="1" applyAlignment="1">
      <alignment horizontal="center" wrapText="1"/>
    </xf>
    <xf numFmtId="168" fontId="15" fillId="0" borderId="3" xfId="2" applyNumberFormat="1" applyFont="1" applyBorder="1"/>
    <xf numFmtId="168" fontId="15" fillId="0" borderId="2" xfId="2" applyNumberFormat="1" applyFont="1" applyBorder="1"/>
    <xf numFmtId="0" fontId="3" fillId="0" borderId="5" xfId="0" applyFont="1" applyBorder="1"/>
    <xf numFmtId="0" fontId="0" fillId="0" borderId="5" xfId="0" applyBorder="1"/>
    <xf numFmtId="165" fontId="52" fillId="0" borderId="0" xfId="1" applyNumberFormat="1" applyFont="1"/>
    <xf numFmtId="0" fontId="52" fillId="0" borderId="0" xfId="0" applyFont="1" applyBorder="1"/>
    <xf numFmtId="165" fontId="52" fillId="0" borderId="0" xfId="1" applyNumberFormat="1" applyFont="1" applyBorder="1"/>
    <xf numFmtId="0" fontId="54" fillId="0" borderId="3" xfId="0" applyFont="1" applyBorder="1"/>
    <xf numFmtId="0" fontId="30" fillId="2" borderId="17" xfId="0" applyFont="1" applyFill="1" applyBorder="1"/>
    <xf numFmtId="168" fontId="30" fillId="2" borderId="1" xfId="2" applyNumberFormat="1" applyFont="1" applyFill="1" applyBorder="1" applyAlignment="1">
      <alignment horizontal="center"/>
    </xf>
    <xf numFmtId="168" fontId="30" fillId="2" borderId="18" xfId="2" applyNumberFormat="1" applyFont="1" applyFill="1" applyBorder="1" applyAlignment="1">
      <alignment horizontal="center"/>
    </xf>
    <xf numFmtId="0" fontId="30" fillId="2" borderId="3" xfId="0" applyFont="1" applyFill="1" applyBorder="1"/>
    <xf numFmtId="168" fontId="30" fillId="2" borderId="2" xfId="2" applyNumberFormat="1" applyFont="1" applyFill="1" applyBorder="1" applyAlignment="1">
      <alignment horizontal="center"/>
    </xf>
    <xf numFmtId="168" fontId="30" fillId="2" borderId="4" xfId="2" applyNumberFormat="1" applyFont="1" applyFill="1" applyBorder="1" applyAlignment="1">
      <alignment horizontal="center"/>
    </xf>
    <xf numFmtId="0" fontId="55" fillId="0" borderId="0" xfId="0" applyFont="1" applyBorder="1"/>
    <xf numFmtId="0" fontId="56" fillId="4" borderId="2" xfId="0" applyNumberFormat="1" applyFont="1" applyFill="1" applyBorder="1" applyAlignment="1">
      <alignment horizontal="center"/>
    </xf>
    <xf numFmtId="165" fontId="56" fillId="4" borderId="2" xfId="1" applyNumberFormat="1" applyFont="1" applyFill="1" applyBorder="1"/>
    <xf numFmtId="0" fontId="56" fillId="4" borderId="21" xfId="0" applyNumberFormat="1" applyFont="1" applyFill="1" applyBorder="1" applyAlignment="1">
      <alignment horizontal="center"/>
    </xf>
    <xf numFmtId="165" fontId="56" fillId="4" borderId="21" xfId="1" applyNumberFormat="1" applyFont="1" applyFill="1" applyBorder="1"/>
    <xf numFmtId="43" fontId="57" fillId="0" borderId="5" xfId="1" applyFont="1" applyBorder="1" applyAlignment="1">
      <alignment horizontal="center"/>
    </xf>
    <xf numFmtId="165" fontId="58" fillId="0" borderId="2" xfId="1" applyNumberFormat="1" applyFont="1" applyBorder="1"/>
    <xf numFmtId="165" fontId="58" fillId="12" borderId="2" xfId="1" applyNumberFormat="1" applyFont="1" applyFill="1" applyBorder="1"/>
    <xf numFmtId="164" fontId="58" fillId="0" borderId="2" xfId="1" applyNumberFormat="1" applyFont="1" applyBorder="1"/>
    <xf numFmtId="43" fontId="60" fillId="6" borderId="5" xfId="1" applyNumberFormat="1" applyFont="1" applyFill="1" applyBorder="1"/>
    <xf numFmtId="43" fontId="60" fillId="7" borderId="5" xfId="1" applyNumberFormat="1" applyFont="1" applyFill="1" applyBorder="1"/>
    <xf numFmtId="168" fontId="60" fillId="6" borderId="5" xfId="2" applyNumberFormat="1" applyFont="1" applyFill="1" applyBorder="1"/>
    <xf numFmtId="168" fontId="60" fillId="7" borderId="5" xfId="2" applyNumberFormat="1" applyFont="1" applyFill="1" applyBorder="1"/>
    <xf numFmtId="168" fontId="60" fillId="0" borderId="0" xfId="2" applyNumberFormat="1" applyFont="1"/>
    <xf numFmtId="168" fontId="60" fillId="6" borderId="0" xfId="2" applyNumberFormat="1" applyFont="1" applyFill="1" applyBorder="1"/>
    <xf numFmtId="168" fontId="60" fillId="10" borderId="0" xfId="2" applyNumberFormat="1" applyFont="1" applyFill="1" applyBorder="1"/>
    <xf numFmtId="165" fontId="60" fillId="6" borderId="0" xfId="1" applyNumberFormat="1" applyFont="1" applyFill="1" applyBorder="1"/>
    <xf numFmtId="165" fontId="60" fillId="10" borderId="0" xfId="1" applyNumberFormat="1" applyFont="1" applyFill="1" applyBorder="1"/>
    <xf numFmtId="165" fontId="60" fillId="0" borderId="19" xfId="1" applyNumberFormat="1" applyFont="1" applyBorder="1"/>
    <xf numFmtId="168" fontId="61" fillId="4" borderId="2" xfId="2" applyNumberFormat="1" applyFont="1" applyFill="1" applyBorder="1"/>
    <xf numFmtId="165" fontId="61" fillId="4" borderId="2" xfId="1" applyNumberFormat="1" applyFont="1" applyFill="1" applyBorder="1"/>
    <xf numFmtId="165" fontId="61" fillId="4" borderId="21" xfId="1" applyNumberFormat="1" applyFont="1" applyFill="1" applyBorder="1"/>
    <xf numFmtId="168" fontId="58" fillId="0" borderId="0" xfId="2" applyNumberFormat="1" applyFont="1" applyAlignment="1">
      <alignment horizontal="right"/>
    </xf>
    <xf numFmtId="0" fontId="58" fillId="0" borderId="0" xfId="0" applyFont="1" applyAlignment="1">
      <alignment horizontal="center"/>
    </xf>
    <xf numFmtId="165" fontId="58" fillId="0" borderId="0" xfId="1" applyNumberFormat="1" applyFont="1" applyAlignment="1">
      <alignment horizontal="center"/>
    </xf>
    <xf numFmtId="165" fontId="58" fillId="0" borderId="0" xfId="1" applyNumberFormat="1" applyFont="1" applyAlignment="1">
      <alignment horizontal="right"/>
    </xf>
    <xf numFmtId="165" fontId="62" fillId="0" borderId="0" xfId="1" applyNumberFormat="1" applyFont="1" applyAlignment="1">
      <alignment horizontal="right"/>
    </xf>
    <xf numFmtId="0" fontId="62" fillId="0" borderId="0" xfId="0" applyFont="1" applyAlignment="1">
      <alignment horizontal="center"/>
    </xf>
    <xf numFmtId="165" fontId="62" fillId="0" borderId="0" xfId="1" applyNumberFormat="1" applyFont="1" applyAlignment="1">
      <alignment horizontal="center"/>
    </xf>
    <xf numFmtId="165" fontId="63" fillId="0" borderId="0" xfId="1" applyNumberFormat="1" applyFont="1" applyAlignment="1">
      <alignment horizontal="right"/>
    </xf>
    <xf numFmtId="165" fontId="63" fillId="0" borderId="0" xfId="1" applyNumberFormat="1" applyFont="1" applyAlignment="1">
      <alignment horizontal="center"/>
    </xf>
    <xf numFmtId="168" fontId="61" fillId="4" borderId="1" xfId="2" applyNumberFormat="1" applyFont="1" applyFill="1" applyBorder="1"/>
    <xf numFmtId="165" fontId="64" fillId="0" borderId="0" xfId="1" applyNumberFormat="1" applyFont="1" applyBorder="1"/>
    <xf numFmtId="168" fontId="57" fillId="0" borderId="0" xfId="2" applyNumberFormat="1" applyFont="1" applyBorder="1"/>
    <xf numFmtId="168" fontId="57" fillId="0" borderId="9" xfId="2" applyNumberFormat="1" applyFont="1" applyBorder="1"/>
    <xf numFmtId="165" fontId="57" fillId="0" borderId="0" xfId="1" applyNumberFormat="1" applyFont="1" applyBorder="1"/>
    <xf numFmtId="165" fontId="57" fillId="0" borderId="9" xfId="1" applyNumberFormat="1" applyFont="1" applyBorder="1"/>
    <xf numFmtId="0" fontId="19" fillId="0" borderId="35" xfId="0" applyFont="1" applyBorder="1"/>
    <xf numFmtId="168" fontId="19" fillId="0" borderId="33" xfId="2" applyNumberFormat="1" applyFont="1" applyBorder="1"/>
    <xf numFmtId="168" fontId="19" fillId="0" borderId="34" xfId="2" applyNumberFormat="1" applyFont="1" applyBorder="1"/>
    <xf numFmtId="0" fontId="57" fillId="11" borderId="2" xfId="0" applyFont="1" applyFill="1" applyBorder="1"/>
    <xf numFmtId="0" fontId="57" fillId="11" borderId="4" xfId="0" applyFont="1" applyFill="1" applyBorder="1"/>
    <xf numFmtId="0" fontId="61" fillId="4" borderId="2" xfId="0" applyNumberFormat="1" applyFont="1" applyFill="1" applyBorder="1" applyAlignment="1">
      <alignment horizontal="center"/>
    </xf>
    <xf numFmtId="43" fontId="61" fillId="4" borderId="2" xfId="1" applyNumberFormat="1" applyFont="1" applyFill="1" applyBorder="1"/>
    <xf numFmtId="165" fontId="56" fillId="0" borderId="2" xfId="1" applyNumberFormat="1" applyFont="1" applyFill="1" applyBorder="1"/>
    <xf numFmtId="0" fontId="65" fillId="11" borderId="2" xfId="0" applyFont="1" applyFill="1" applyBorder="1"/>
    <xf numFmtId="0" fontId="65" fillId="11" borderId="4" xfId="0" applyFont="1" applyFill="1" applyBorder="1"/>
    <xf numFmtId="43" fontId="65" fillId="0" borderId="5" xfId="1" applyFont="1" applyBorder="1" applyAlignment="1">
      <alignment horizontal="center"/>
    </xf>
    <xf numFmtId="175" fontId="56" fillId="4" borderId="1" xfId="1" applyNumberFormat="1" applyFont="1" applyFill="1" applyBorder="1" applyAlignment="1">
      <alignment horizontal="center"/>
    </xf>
    <xf numFmtId="175" fontId="56" fillId="4" borderId="2" xfId="1" applyNumberFormat="1" applyFont="1" applyFill="1" applyBorder="1" applyAlignment="1">
      <alignment horizontal="center"/>
    </xf>
    <xf numFmtId="168" fontId="64" fillId="4" borderId="19" xfId="2" applyNumberFormat="1" applyFont="1" applyFill="1" applyBorder="1" applyAlignment="1">
      <alignment horizontal="center" wrapText="1"/>
    </xf>
    <xf numFmtId="168" fontId="64" fillId="4" borderId="19" xfId="0" applyNumberFormat="1" applyFont="1" applyFill="1" applyBorder="1" applyAlignment="1">
      <alignment horizontal="center" wrapText="1"/>
    </xf>
    <xf numFmtId="168" fontId="58" fillId="4" borderId="4" xfId="2" applyNumberFormat="1" applyFont="1" applyFill="1" applyBorder="1"/>
    <xf numFmtId="0" fontId="59" fillId="7" borderId="4" xfId="0" applyFont="1" applyFill="1" applyBorder="1" applyAlignment="1">
      <alignment horizontal="center" wrapText="1"/>
    </xf>
    <xf numFmtId="165" fontId="66" fillId="0" borderId="2" xfId="1" applyNumberFormat="1" applyFont="1" applyBorder="1"/>
    <xf numFmtId="165" fontId="66" fillId="12" borderId="2" xfId="1" applyNumberFormat="1" applyFont="1" applyFill="1" applyBorder="1"/>
    <xf numFmtId="172" fontId="66" fillId="0" borderId="2" xfId="3" applyNumberFormat="1" applyFont="1" applyBorder="1" applyProtection="1">
      <protection locked="0"/>
    </xf>
    <xf numFmtId="172" fontId="66" fillId="12" borderId="2" xfId="3" applyNumberFormat="1" applyFont="1" applyFill="1" applyBorder="1" applyProtection="1">
      <protection locked="0"/>
    </xf>
    <xf numFmtId="165" fontId="67" fillId="0" borderId="9" xfId="1" applyNumberFormat="1" applyFont="1" applyBorder="1"/>
    <xf numFmtId="10" fontId="67" fillId="0" borderId="9" xfId="3" applyNumberFormat="1" applyFont="1" applyBorder="1"/>
    <xf numFmtId="172" fontId="67" fillId="0" borderId="9" xfId="3" applyNumberFormat="1" applyFont="1" applyBorder="1"/>
    <xf numFmtId="43" fontId="60" fillId="0" borderId="9" xfId="1" applyFont="1" applyBorder="1"/>
    <xf numFmtId="43" fontId="68" fillId="0" borderId="9" xfId="1" applyFont="1" applyBorder="1"/>
    <xf numFmtId="165" fontId="58" fillId="0" borderId="2" xfId="1" applyNumberFormat="1" applyFont="1" applyBorder="1" applyProtection="1">
      <protection locked="0"/>
    </xf>
    <xf numFmtId="168" fontId="58" fillId="0" borderId="4" xfId="2" applyNumberFormat="1" applyFont="1" applyBorder="1"/>
    <xf numFmtId="165" fontId="58" fillId="0" borderId="0" xfId="1" applyNumberFormat="1" applyFont="1" applyBorder="1"/>
    <xf numFmtId="171" fontId="15" fillId="0" borderId="4" xfId="3" applyNumberFormat="1" applyFont="1" applyBorder="1"/>
    <xf numFmtId="168" fontId="66" fillId="4" borderId="2" xfId="2" applyNumberFormat="1" applyFont="1" applyFill="1" applyBorder="1"/>
    <xf numFmtId="168" fontId="66" fillId="0" borderId="2" xfId="2" applyNumberFormat="1" applyFont="1" applyBorder="1"/>
    <xf numFmtId="165" fontId="69" fillId="6" borderId="5" xfId="1" applyNumberFormat="1" applyFont="1" applyFill="1" applyBorder="1"/>
    <xf numFmtId="165" fontId="69" fillId="7" borderId="5" xfId="1" applyNumberFormat="1" applyFont="1" applyFill="1" applyBorder="1"/>
    <xf numFmtId="165" fontId="69" fillId="6" borderId="0" xfId="1" applyNumberFormat="1" applyFont="1" applyFill="1" applyBorder="1"/>
    <xf numFmtId="174" fontId="21" fillId="6" borderId="1" xfId="1" applyNumberFormat="1" applyFont="1" applyFill="1" applyBorder="1"/>
    <xf numFmtId="165" fontId="69" fillId="10" borderId="0" xfId="1" applyNumberFormat="1" applyFont="1" applyFill="1" applyBorder="1"/>
    <xf numFmtId="165" fontId="70" fillId="0" borderId="19" xfId="1" applyNumberFormat="1" applyFont="1" applyBorder="1" applyAlignment="1">
      <alignment horizontal="center"/>
    </xf>
    <xf numFmtId="168" fontId="58" fillId="0" borderId="5" xfId="2" applyNumberFormat="1" applyFont="1" applyBorder="1"/>
    <xf numFmtId="165" fontId="58" fillId="0" borderId="5" xfId="1" applyNumberFormat="1" applyFont="1" applyBorder="1"/>
    <xf numFmtId="165" fontId="66" fillId="4" borderId="2" xfId="1" applyNumberFormat="1" applyFont="1" applyFill="1" applyBorder="1" applyAlignment="1">
      <alignment horizontal="center" wrapText="1"/>
    </xf>
    <xf numFmtId="165" fontId="69" fillId="0" borderId="5" xfId="1" applyNumberFormat="1" applyFont="1" applyBorder="1"/>
    <xf numFmtId="165" fontId="69" fillId="0" borderId="19" xfId="1" applyNumberFormat="1" applyFont="1" applyBorder="1"/>
    <xf numFmtId="0" fontId="69" fillId="4" borderId="5" xfId="0" applyFont="1" applyFill="1" applyBorder="1" applyAlignment="1">
      <alignment horizontal="center"/>
    </xf>
    <xf numFmtId="0" fontId="69" fillId="4" borderId="19" xfId="0" applyFont="1" applyFill="1" applyBorder="1" applyAlignment="1">
      <alignment horizontal="center"/>
    </xf>
    <xf numFmtId="173" fontId="58" fillId="0" borderId="2" xfId="1" applyNumberFormat="1" applyFont="1" applyBorder="1" applyAlignment="1">
      <alignment horizontal="center"/>
    </xf>
    <xf numFmtId="173" fontId="58" fillId="0" borderId="2" xfId="2" applyNumberFormat="1" applyFont="1" applyBorder="1" applyAlignment="1">
      <alignment horizontal="center"/>
    </xf>
    <xf numFmtId="173" fontId="58" fillId="0" borderId="1" xfId="1" applyNumberFormat="1" applyFont="1" applyBorder="1" applyAlignment="1">
      <alignment horizontal="center"/>
    </xf>
    <xf numFmtId="1" fontId="69" fillId="4" borderId="5" xfId="0" applyNumberFormat="1" applyFont="1" applyFill="1" applyBorder="1" applyAlignment="1">
      <alignment horizontal="center"/>
    </xf>
    <xf numFmtId="165" fontId="66" fillId="0" borderId="1" xfId="1" applyNumberFormat="1" applyFont="1" applyBorder="1"/>
    <xf numFmtId="168" fontId="58" fillId="0" borderId="1" xfId="2" applyNumberFormat="1" applyFont="1" applyBorder="1"/>
    <xf numFmtId="168" fontId="69" fillId="0" borderId="0" xfId="2" applyNumberFormat="1" applyFont="1" applyAlignment="1">
      <alignment horizontal="center"/>
    </xf>
    <xf numFmtId="165" fontId="69" fillId="0" borderId="0" xfId="1" applyNumberFormat="1" applyFont="1" applyAlignment="1">
      <alignment horizontal="center"/>
    </xf>
    <xf numFmtId="165" fontId="71" fillId="0" borderId="0" xfId="1" applyNumberFormat="1" applyFont="1"/>
    <xf numFmtId="42" fontId="72" fillId="0" borderId="0" xfId="0" applyNumberFormat="1" applyFont="1" applyBorder="1"/>
    <xf numFmtId="41" fontId="72" fillId="0" borderId="0" xfId="0" applyNumberFormat="1" applyFont="1" applyBorder="1"/>
    <xf numFmtId="41" fontId="72" fillId="0" borderId="1" xfId="0" applyNumberFormat="1" applyFont="1" applyBorder="1"/>
    <xf numFmtId="42" fontId="72" fillId="0" borderId="0" xfId="0" applyNumberFormat="1" applyFont="1"/>
    <xf numFmtId="168" fontId="72" fillId="0" borderId="0" xfId="2" applyNumberFormat="1" applyFont="1" applyFill="1" applyBorder="1"/>
    <xf numFmtId="168" fontId="72" fillId="0" borderId="0" xfId="2" applyNumberFormat="1" applyFont="1"/>
    <xf numFmtId="165" fontId="73" fillId="0" borderId="0" xfId="1" applyNumberFormat="1" applyFont="1" applyFill="1" applyBorder="1"/>
    <xf numFmtId="165" fontId="73" fillId="0" borderId="0" xfId="1" applyNumberFormat="1" applyFont="1"/>
    <xf numFmtId="165" fontId="73" fillId="0" borderId="0" xfId="1" applyNumberFormat="1" applyFont="1" applyBorder="1" applyAlignment="1">
      <alignment horizontal="left"/>
    </xf>
    <xf numFmtId="0" fontId="3" fillId="0" borderId="0" xfId="0" applyFont="1"/>
    <xf numFmtId="165" fontId="74" fillId="0" borderId="0" xfId="1" applyNumberFormat="1" applyFont="1" applyAlignment="1">
      <alignment horizontal="center"/>
    </xf>
    <xf numFmtId="42" fontId="0" fillId="0" borderId="0" xfId="0" applyNumberFormat="1"/>
    <xf numFmtId="41" fontId="75" fillId="0" borderId="0" xfId="0" applyNumberFormat="1" applyFont="1"/>
    <xf numFmtId="41" fontId="75" fillId="0" borderId="1" xfId="0" applyNumberFormat="1" applyFont="1" applyBorder="1"/>
    <xf numFmtId="0" fontId="60" fillId="4" borderId="16" xfId="0" applyFont="1" applyFill="1" applyBorder="1"/>
    <xf numFmtId="1" fontId="8" fillId="4" borderId="5" xfId="0" applyNumberFormat="1" applyFont="1" applyFill="1" applyBorder="1" applyAlignment="1">
      <alignment horizontal="center"/>
    </xf>
    <xf numFmtId="0" fontId="76" fillId="0" borderId="0" xfId="0" applyFont="1"/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0" fontId="27" fillId="5" borderId="7" xfId="0" applyFont="1" applyFill="1" applyBorder="1" applyAlignment="1">
      <alignment horizontal="left" vertical="top"/>
    </xf>
    <xf numFmtId="0" fontId="27" fillId="7" borderId="13" xfId="0" applyFont="1" applyFill="1" applyBorder="1" applyAlignment="1">
      <alignment horizontal="left" vertical="top"/>
    </xf>
    <xf numFmtId="0" fontId="27" fillId="7" borderId="6" xfId="0" applyFont="1" applyFill="1" applyBorder="1" applyAlignment="1">
      <alignment horizontal="left" vertical="top"/>
    </xf>
    <xf numFmtId="0" fontId="27" fillId="7" borderId="7" xfId="0" applyFont="1" applyFill="1" applyBorder="1" applyAlignment="1">
      <alignment horizontal="left" vertical="top"/>
    </xf>
    <xf numFmtId="0" fontId="15" fillId="9" borderId="3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5" fillId="11" borderId="14" xfId="0" applyFont="1" applyFill="1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15" fillId="11" borderId="16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Revenue versus Cost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Revenues</c:v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Comp'!$B$28)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('Revenue and Cost Comp'!$C$23,'Revenue and Cost Comp'!$C$46)</c:f>
              <c:numCache>
                <c:formatCode>_("$"* #,##0_);_("$"* \(#,##0\);_("$"* "-"??_);_(@_)</c:formatCode>
                <c:ptCount val="2"/>
                <c:pt idx="0">
                  <c:v>259177.95826072872</c:v>
                </c:pt>
                <c:pt idx="1">
                  <c:v>2323774.294798376</c:v>
                </c:pt>
              </c:numCache>
            </c:numRef>
          </c:val>
        </c:ser>
        <c:ser>
          <c:idx val="1"/>
          <c:order val="1"/>
          <c:tx>
            <c:v>Costs</c:v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Comp'!$B$28)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('Revenue and Cost Comp'!$D$23,'Revenue and Cost Comp'!$D$46)</c:f>
              <c:numCache>
                <c:formatCode>_("$"* #,##0_);_("$"* \(#,##0\);_("$"* "-"??_);_(@_)</c:formatCode>
                <c:ptCount val="2"/>
                <c:pt idx="0">
                  <c:v>248338.56682412664</c:v>
                </c:pt>
                <c:pt idx="1">
                  <c:v>1247066.0668437355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76096"/>
        <c:axId val="107477632"/>
      </c:barChart>
      <c:catAx>
        <c:axId val="107476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77632"/>
        <c:crosses val="autoZero"/>
        <c:auto val="1"/>
        <c:lblAlgn val="ctr"/>
        <c:lblOffset val="100"/>
        <c:noMultiLvlLbl val="0"/>
      </c:catAx>
      <c:valAx>
        <c:axId val="10747763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07476096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b="1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One-time Revenue versus Cost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Revenues</c:v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Comp'!$B$28)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('Revenue and Cost Comp'!$C$25,'Revenue and Cost Comp'!$C$48)</c:f>
              <c:numCache>
                <c:formatCode>_("$"* #,##0_);_("$"* \(#,##0\);_("$"* "-"??_);_(@_)</c:formatCode>
                <c:ptCount val="2"/>
                <c:pt idx="0">
                  <c:v>269285</c:v>
                </c:pt>
                <c:pt idx="1">
                  <c:v>1093750</c:v>
                </c:pt>
              </c:numCache>
            </c:numRef>
          </c:val>
        </c:ser>
        <c:ser>
          <c:idx val="1"/>
          <c:order val="1"/>
          <c:tx>
            <c:v>Costs</c:v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Comp'!$B$28)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('Revenue and Cost Comp'!$D$25,'Revenue and Cost Comp'!$D$48)</c:f>
              <c:numCache>
                <c:formatCode>_("$"* #,##0_);_("$"* \(#,##0\);_("$"* "-"??_);_(@_)</c:formatCode>
                <c:ptCount val="2"/>
                <c:pt idx="0">
                  <c:v>6500</c:v>
                </c:pt>
                <c:pt idx="1">
                  <c:v>89726.983469820771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15872"/>
        <c:axId val="116434048"/>
      </c:barChart>
      <c:catAx>
        <c:axId val="1164158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6434048"/>
        <c:crosses val="autoZero"/>
        <c:auto val="1"/>
        <c:lblAlgn val="ctr"/>
        <c:lblOffset val="100"/>
        <c:noMultiLvlLbl val="0"/>
      </c:catAx>
      <c:valAx>
        <c:axId val="116434048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6415872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Town Costs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Graphs!$U$13</c:f>
              <c:strCache>
                <c:ptCount val="1"/>
                <c:pt idx="0">
                  <c:v>PW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Graphs!$V$13:$W$13</c:f>
              <c:numCache>
                <c:formatCode>_(* #,##0_);_(* \(#,##0\);_(* "-"_);_(@_)</c:formatCode>
                <c:ptCount val="2"/>
                <c:pt idx="0">
                  <c:v>42200</c:v>
                </c:pt>
                <c:pt idx="1">
                  <c:v>0</c:v>
                </c:pt>
              </c:numCache>
            </c:numRef>
          </c:val>
        </c:ser>
        <c:ser>
          <c:idx val="5"/>
          <c:order val="1"/>
          <c:tx>
            <c:strRef>
              <c:f>Graphs!$U$12</c:f>
              <c:strCache>
                <c:ptCount val="1"/>
                <c:pt idx="0">
                  <c:v>P&amp;R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Graphs!$V$12:$W$12</c:f>
              <c:numCache>
                <c:formatCode>_(* #,##0_);_(* \(#,##0\);_(* "-"_);_(@_)</c:formatCode>
                <c:ptCount val="2"/>
                <c:pt idx="0">
                  <c:v>19726.4264</c:v>
                </c:pt>
                <c:pt idx="1">
                  <c:v>135869.5472</c:v>
                </c:pt>
              </c:numCache>
            </c:numRef>
          </c:val>
        </c:ser>
        <c:ser>
          <c:idx val="4"/>
          <c:order val="2"/>
          <c:tx>
            <c:strRef>
              <c:f>Graphs!$U$11</c:f>
              <c:strCache>
                <c:ptCount val="1"/>
                <c:pt idx="0">
                  <c:v>Library</c:v>
                </c:pt>
              </c:strCache>
            </c:strRef>
          </c:tx>
          <c:spPr>
            <a:solidFill>
              <a:schemeClr val="tx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Graphs!$V$11:$W$11</c:f>
              <c:numCache>
                <c:formatCode>_(* #,##0_);_(* \(#,##0\);_(* "-"_);_(@_)</c:formatCode>
                <c:ptCount val="2"/>
                <c:pt idx="0">
                  <c:v>8410.2254008298751</c:v>
                </c:pt>
                <c:pt idx="1">
                  <c:v>57927.041314522823</c:v>
                </c:pt>
              </c:numCache>
            </c:numRef>
          </c:val>
        </c:ser>
        <c:ser>
          <c:idx val="3"/>
          <c:order val="3"/>
          <c:tx>
            <c:strRef>
              <c:f>Graphs!$U$10</c:f>
              <c:strCache>
                <c:ptCount val="1"/>
                <c:pt idx="0">
                  <c:v>Public Safety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Graphs!$V$10:$W$10</c:f>
              <c:numCache>
                <c:formatCode>_(* #,##0_);_(* \(#,##0\);_(* "-"_);_(@_)</c:formatCode>
                <c:ptCount val="2"/>
                <c:pt idx="0">
                  <c:v>102692.63720000001</c:v>
                </c:pt>
                <c:pt idx="1">
                  <c:v>638721.23714500002</c:v>
                </c:pt>
              </c:numCache>
            </c:numRef>
          </c:val>
        </c:ser>
        <c:ser>
          <c:idx val="2"/>
          <c:order val="4"/>
          <c:tx>
            <c:strRef>
              <c:f>Graphs!$U$9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Graphs!$V$9:$W$9</c:f>
              <c:numCache>
                <c:formatCode>_(* #,##0_);_(* \(#,##0\);_(* "-"_);_(@_)</c:formatCode>
                <c:ptCount val="2"/>
                <c:pt idx="0">
                  <c:v>24064.811653238867</c:v>
                </c:pt>
                <c:pt idx="1">
                  <c:v>157217.14802598165</c:v>
                </c:pt>
              </c:numCache>
            </c:numRef>
          </c:val>
        </c:ser>
        <c:ser>
          <c:idx val="1"/>
          <c:order val="5"/>
          <c:tx>
            <c:strRef>
              <c:f>Graphs!$U$8</c:f>
              <c:strCache>
                <c:ptCount val="1"/>
                <c:pt idx="0">
                  <c:v>Gen Gov.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Graphs!$V$8:$W$8</c:f>
              <c:numCache>
                <c:formatCode>_(* #,##0_);_(* \(#,##0\);_(* "-"_);_(@_)</c:formatCode>
                <c:ptCount val="2"/>
                <c:pt idx="0">
                  <c:v>25622.23308502894</c:v>
                </c:pt>
                <c:pt idx="1">
                  <c:v>128665.54657911557</c:v>
                </c:pt>
              </c:numCache>
            </c:numRef>
          </c:val>
        </c:ser>
        <c:ser>
          <c:idx val="0"/>
          <c:order val="6"/>
          <c:tx>
            <c:strRef>
              <c:f>Graphs!$U$7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Graphs!$V$7:$W$7</c:f>
              <c:numCache>
                <c:formatCode>_(* #,##0_);_(* \(#,##0\);_(* "-"_);_(@_)</c:formatCode>
                <c:ptCount val="2"/>
                <c:pt idx="0">
                  <c:v>25622.23308502894</c:v>
                </c:pt>
                <c:pt idx="1">
                  <c:v>128665.54657911557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266304"/>
        <c:axId val="117267840"/>
      </c:barChart>
      <c:catAx>
        <c:axId val="117266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7267840"/>
        <c:crosses val="autoZero"/>
        <c:auto val="1"/>
        <c:lblAlgn val="ctr"/>
        <c:lblOffset val="100"/>
        <c:noMultiLvlLbl val="0"/>
      </c:catAx>
      <c:valAx>
        <c:axId val="11726784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7266304"/>
        <c:crosses val="autoZero"/>
        <c:crossBetween val="between"/>
      </c:valAx>
      <c:spPr>
        <a:solidFill>
          <a:schemeClr val="bg2"/>
        </a:solidFill>
        <a:ln>
          <a:solidFill>
            <a:sysClr val="windowText" lastClr="00000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  <a:ln>
      <a:solidFill>
        <a:sysClr val="windowText" lastClr="000000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472440</xdr:colOff>
      <xdr:row>78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70320"/>
          <a:ext cx="5958840" cy="685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11</xdr:col>
      <xdr:colOff>15240</xdr:colOff>
      <xdr:row>37</xdr:row>
      <xdr:rowOff>91440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640"/>
          <a:ext cx="6111240" cy="612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161924</xdr:rowOff>
    </xdr:from>
    <xdr:to>
      <xdr:col>5</xdr:col>
      <xdr:colOff>219074</xdr:colOff>
      <xdr:row>23</xdr:row>
      <xdr:rowOff>95249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9524</xdr:colOff>
      <xdr:row>1</xdr:row>
      <xdr:rowOff>1</xdr:rowOff>
    </xdr:from>
    <xdr:to>
      <xdr:col>11</xdr:col>
      <xdr:colOff>219074</xdr:colOff>
      <xdr:row>23</xdr:row>
      <xdr:rowOff>95251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609598</xdr:colOff>
      <xdr:row>1</xdr:row>
      <xdr:rowOff>1</xdr:rowOff>
    </xdr:from>
    <xdr:to>
      <xdr:col>18</xdr:col>
      <xdr:colOff>514348</xdr:colOff>
      <xdr:row>23</xdr:row>
      <xdr:rowOff>95251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showGridLines="0" topLeftCell="A25"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scale="8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Q30"/>
  <sheetViews>
    <sheetView showGridLines="0" topLeftCell="A6" workbookViewId="0">
      <selection activeCell="G14" sqref="G14"/>
    </sheetView>
  </sheetViews>
  <sheetFormatPr defaultRowHeight="12.75" x14ac:dyDescent="0.2"/>
  <cols>
    <col min="2" max="2" width="16.28515625" customWidth="1"/>
    <col min="3" max="3" width="20.7109375" customWidth="1"/>
    <col min="4" max="4" width="21.7109375" customWidth="1"/>
    <col min="5" max="5" width="4.140625" customWidth="1"/>
    <col min="6" max="7" width="17.42578125" customWidth="1"/>
    <col min="8" max="8" width="20.5703125" customWidth="1"/>
  </cols>
  <sheetData>
    <row r="2" spans="2:17" ht="18.75" x14ac:dyDescent="0.3">
      <c r="B2" s="8" t="s">
        <v>55</v>
      </c>
    </row>
    <row r="3" spans="2:17" ht="31.5" x14ac:dyDescent="0.25">
      <c r="B3" s="43" t="s">
        <v>111</v>
      </c>
      <c r="C3" s="44" t="s">
        <v>50</v>
      </c>
      <c r="D3" s="45" t="s">
        <v>51</v>
      </c>
      <c r="F3" s="25"/>
    </row>
    <row r="4" spans="2:17" ht="21.75" customHeight="1" x14ac:dyDescent="0.25">
      <c r="B4" s="9"/>
      <c r="C4" s="451">
        <v>1478830</v>
      </c>
      <c r="D4" s="509">
        <v>1093750</v>
      </c>
      <c r="F4" s="18"/>
    </row>
    <row r="5" spans="2:17" ht="31.5" x14ac:dyDescent="0.25">
      <c r="B5" s="142" t="s">
        <v>107</v>
      </c>
      <c r="C5" s="143" t="s">
        <v>50</v>
      </c>
      <c r="D5" s="144" t="s">
        <v>51</v>
      </c>
      <c r="F5" s="18"/>
    </row>
    <row r="6" spans="2:17" ht="21.75" customHeight="1" x14ac:dyDescent="0.25">
      <c r="B6" s="9"/>
      <c r="C6" s="451">
        <v>252800</v>
      </c>
      <c r="D6" s="509">
        <v>269285</v>
      </c>
      <c r="F6" s="18"/>
    </row>
    <row r="7" spans="2:17" x14ac:dyDescent="0.2">
      <c r="B7" s="13" t="s">
        <v>54</v>
      </c>
    </row>
    <row r="10" spans="2:17" ht="18.75" x14ac:dyDescent="0.3">
      <c r="B10" s="8" t="s">
        <v>295</v>
      </c>
    </row>
    <row r="11" spans="2:17" ht="31.5" customHeight="1" x14ac:dyDescent="0.25">
      <c r="B11" s="43" t="s">
        <v>111</v>
      </c>
      <c r="C11" s="44" t="s">
        <v>50</v>
      </c>
      <c r="D11" s="45" t="s">
        <v>296</v>
      </c>
    </row>
    <row r="12" spans="2:17" ht="15.75" x14ac:dyDescent="0.25">
      <c r="B12" s="9"/>
      <c r="C12" s="499">
        <f>+C4</f>
        <v>1478830</v>
      </c>
      <c r="D12" s="11">
        <f>+C12*C24</f>
        <v>89726.983469820771</v>
      </c>
    </row>
    <row r="13" spans="2:17" ht="31.5" x14ac:dyDescent="0.25">
      <c r="B13" s="142" t="s">
        <v>107</v>
      </c>
      <c r="C13" s="143" t="s">
        <v>50</v>
      </c>
      <c r="D13" s="144" t="s">
        <v>296</v>
      </c>
      <c r="F13" s="18"/>
      <c r="G13" s="27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2:17" ht="15.75" x14ac:dyDescent="0.25">
      <c r="B14" s="9"/>
      <c r="C14" s="499">
        <f>+D6</f>
        <v>269285</v>
      </c>
      <c r="D14" s="11">
        <v>0</v>
      </c>
      <c r="F14" s="18"/>
      <c r="G14" s="27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2:17" x14ac:dyDescent="0.2">
      <c r="B15" s="13" t="s">
        <v>307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 x14ac:dyDescent="0.2">
      <c r="B16" s="13" t="s">
        <v>308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x14ac:dyDescent="0.2">
      <c r="B17" s="21"/>
      <c r="C17" s="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x14ac:dyDescent="0.2">
      <c r="B18" s="402" t="s">
        <v>235</v>
      </c>
      <c r="D18" s="26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ht="15.75" x14ac:dyDescent="0.25">
      <c r="B19" s="414" t="s">
        <v>300</v>
      </c>
      <c r="C19" s="414"/>
      <c r="D19" s="435"/>
      <c r="E19" s="435"/>
      <c r="F19" s="43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ht="15.75" x14ac:dyDescent="0.25">
      <c r="B20" s="414" t="s">
        <v>299</v>
      </c>
      <c r="C20" s="414"/>
      <c r="D20" s="435"/>
      <c r="E20" s="435"/>
      <c r="F20" s="43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5.75" x14ac:dyDescent="0.25">
      <c r="B21" s="414"/>
      <c r="C21" s="414"/>
      <c r="D21" s="435"/>
      <c r="E21" s="435"/>
      <c r="F21" s="43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ht="15.75" x14ac:dyDescent="0.25">
      <c r="B22" s="19" t="s">
        <v>293</v>
      </c>
      <c r="C22" s="435">
        <f>1729510+197800+874535</f>
        <v>2801845</v>
      </c>
      <c r="D22" s="435"/>
      <c r="E22" s="435"/>
      <c r="F22" s="435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ht="15.75" x14ac:dyDescent="0.25">
      <c r="B23" s="436" t="s">
        <v>292</v>
      </c>
      <c r="C23" s="510">
        <v>170000</v>
      </c>
      <c r="D23" s="437"/>
      <c r="E23" s="437"/>
      <c r="F23" s="43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ht="15.75" x14ac:dyDescent="0.25">
      <c r="B24" s="438" t="s">
        <v>294</v>
      </c>
      <c r="C24" s="511">
        <f>+C23/C22</f>
        <v>6.0674305680721095E-2</v>
      </c>
      <c r="D24" s="437"/>
      <c r="E24" s="437"/>
      <c r="F24" s="43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ht="15.75" x14ac:dyDescent="0.25">
      <c r="B25" s="414"/>
      <c r="C25" s="435"/>
      <c r="D25" s="435"/>
      <c r="E25" s="435"/>
      <c r="F25" s="435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ht="15.75" x14ac:dyDescent="0.25">
      <c r="B26" s="414"/>
      <c r="C26" s="435"/>
      <c r="D26" s="435"/>
      <c r="E26" s="435"/>
      <c r="F26" s="435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ht="15.75" x14ac:dyDescent="0.25">
      <c r="B27" s="414"/>
      <c r="C27" s="435"/>
      <c r="D27" s="435"/>
      <c r="E27" s="435"/>
      <c r="F27" s="435"/>
      <c r="G27" s="2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ht="15.75" x14ac:dyDescent="0.25">
      <c r="B28" s="414"/>
      <c r="C28" s="435"/>
      <c r="D28" s="435"/>
      <c r="E28" s="435"/>
      <c r="F28" s="414"/>
    </row>
    <row r="29" spans="2:17" ht="15.75" x14ac:dyDescent="0.25">
      <c r="B29" s="414"/>
      <c r="C29" s="435"/>
      <c r="D29" s="435"/>
      <c r="E29" s="435"/>
      <c r="F29" s="414"/>
    </row>
    <row r="30" spans="2:17" x14ac:dyDescent="0.2">
      <c r="D30" s="18"/>
      <c r="E30" s="1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3:V61"/>
  <sheetViews>
    <sheetView showGridLines="0" topLeftCell="A23" workbookViewId="0"/>
  </sheetViews>
  <sheetFormatPr defaultColWidth="9.140625" defaultRowHeight="15" x14ac:dyDescent="0.2"/>
  <cols>
    <col min="1" max="1" width="3.42578125" style="4" customWidth="1"/>
    <col min="2" max="2" width="22" style="4" customWidth="1"/>
    <col min="3" max="3" width="15.42578125" style="4" customWidth="1"/>
    <col min="4" max="4" width="15.28515625" style="4" customWidth="1"/>
    <col min="5" max="5" width="17.28515625" style="4" customWidth="1"/>
    <col min="6" max="6" width="15.7109375" style="4" customWidth="1"/>
    <col min="7" max="7" width="12.7109375" style="4" customWidth="1"/>
    <col min="8" max="8" width="16.28515625" style="4" customWidth="1"/>
    <col min="9" max="9" width="16.5703125" style="4" customWidth="1"/>
    <col min="10" max="16384" width="9.140625" style="4"/>
  </cols>
  <sheetData>
    <row r="3" spans="2:22" ht="18.75" x14ac:dyDescent="0.3">
      <c r="B3" s="8" t="s">
        <v>9</v>
      </c>
      <c r="C3"/>
      <c r="D3"/>
      <c r="E3"/>
    </row>
    <row r="4" spans="2:22" ht="15.75" x14ac:dyDescent="0.25">
      <c r="B4" s="43" t="s">
        <v>142</v>
      </c>
      <c r="C4" s="44" t="s">
        <v>2</v>
      </c>
      <c r="D4" s="44" t="s">
        <v>3</v>
      </c>
      <c r="E4" s="45" t="s">
        <v>8</v>
      </c>
    </row>
    <row r="5" spans="2:22" ht="15.75" x14ac:dyDescent="0.25">
      <c r="B5" s="9"/>
      <c r="C5" s="512">
        <f>+G15</f>
        <v>252108.492</v>
      </c>
      <c r="D5" s="513">
        <f>+C31</f>
        <v>386612.74514499999</v>
      </c>
      <c r="E5" s="398">
        <f>+D5+C5</f>
        <v>638721.23714500002</v>
      </c>
    </row>
    <row r="6" spans="2:22" ht="15.75" x14ac:dyDescent="0.25">
      <c r="B6" s="145"/>
      <c r="C6" s="220"/>
      <c r="D6" s="59"/>
      <c r="E6" s="59"/>
      <c r="F6" s="219"/>
    </row>
    <row r="7" spans="2:22" ht="15.75" x14ac:dyDescent="0.25">
      <c r="B7" s="142" t="s">
        <v>107</v>
      </c>
      <c r="C7" s="143" t="s">
        <v>2</v>
      </c>
      <c r="D7" s="143" t="s">
        <v>3</v>
      </c>
      <c r="E7" s="144" t="s">
        <v>8</v>
      </c>
    </row>
    <row r="8" spans="2:22" ht="15.75" x14ac:dyDescent="0.25">
      <c r="B8" s="9"/>
      <c r="C8" s="512">
        <f>+G16</f>
        <v>36602.754000000001</v>
      </c>
      <c r="D8" s="513">
        <f>+C39</f>
        <v>66089.883200000011</v>
      </c>
      <c r="E8" s="398">
        <f>+D8+C8</f>
        <v>102692.63720000001</v>
      </c>
    </row>
    <row r="10" spans="2:22" x14ac:dyDescent="0.2">
      <c r="E10" s="5"/>
      <c r="F10" s="5"/>
      <c r="H10" s="5"/>
      <c r="J10" s="5"/>
      <c r="K10" s="5"/>
      <c r="L10" s="5"/>
      <c r="M10" s="5"/>
      <c r="N10" s="5"/>
      <c r="O10" s="265">
        <v>4.5</v>
      </c>
      <c r="P10" s="5"/>
      <c r="Q10" s="5"/>
      <c r="R10" s="5"/>
      <c r="S10" s="5"/>
      <c r="T10" s="5"/>
      <c r="U10" s="5"/>
      <c r="V10" s="5"/>
    </row>
    <row r="11" spans="2:22" ht="20.25" x14ac:dyDescent="0.3">
      <c r="B11" s="368" t="s">
        <v>2</v>
      </c>
      <c r="F11" s="5"/>
      <c r="H11" s="5"/>
      <c r="J11" s="5"/>
      <c r="K11" s="5"/>
      <c r="L11" s="5"/>
      <c r="M11" s="5"/>
      <c r="N11" s="5"/>
      <c r="O11" s="266" t="e">
        <f>+O10/#REF!</f>
        <v>#REF!</v>
      </c>
      <c r="P11" s="5"/>
      <c r="Q11" s="5"/>
      <c r="R11" s="5"/>
      <c r="S11" s="5"/>
      <c r="T11" s="5"/>
      <c r="U11" s="5"/>
      <c r="V11" s="5"/>
    </row>
    <row r="12" spans="2:22" x14ac:dyDescent="0.2">
      <c r="B12" s="18"/>
      <c r="C12" s="18"/>
      <c r="D12" s="18"/>
      <c r="E12" s="18"/>
      <c r="F12" s="5"/>
      <c r="H12" s="5"/>
      <c r="J12" s="366"/>
      <c r="K12" s="5"/>
      <c r="L12" s="5"/>
      <c r="M12" s="5"/>
      <c r="N12" s="5"/>
      <c r="O12" s="265"/>
      <c r="P12" s="5"/>
      <c r="Q12" s="5"/>
      <c r="R12" s="5"/>
      <c r="S12" s="5"/>
      <c r="T12" s="5"/>
      <c r="U12" s="5"/>
      <c r="V12" s="5"/>
    </row>
    <row r="13" spans="2:22" ht="15.75" x14ac:dyDescent="0.25">
      <c r="B13" s="5" t="s">
        <v>255</v>
      </c>
      <c r="C13" s="5"/>
      <c r="D13" s="390"/>
      <c r="E13" s="5"/>
      <c r="F13" s="5"/>
      <c r="H13" s="5"/>
      <c r="J13" s="366"/>
      <c r="K13" s="5"/>
      <c r="L13" s="5"/>
      <c r="M13" s="5"/>
      <c r="N13" s="5"/>
      <c r="O13" s="265">
        <v>4000000</v>
      </c>
      <c r="P13" s="5"/>
      <c r="Q13" s="5"/>
      <c r="R13" s="5"/>
      <c r="S13" s="5"/>
      <c r="T13" s="5"/>
      <c r="U13" s="5"/>
      <c r="V13" s="5"/>
    </row>
    <row r="14" spans="2:22" ht="45" x14ac:dyDescent="0.2">
      <c r="C14" s="391" t="s">
        <v>256</v>
      </c>
      <c r="D14" s="391" t="s">
        <v>257</v>
      </c>
      <c r="E14" s="391" t="s">
        <v>258</v>
      </c>
      <c r="F14" s="391" t="s">
        <v>259</v>
      </c>
      <c r="G14" s="391" t="s">
        <v>260</v>
      </c>
      <c r="J14" s="367"/>
      <c r="K14" s="5"/>
      <c r="L14" s="5"/>
      <c r="M14" s="5"/>
      <c r="N14" s="5"/>
      <c r="O14" s="265">
        <v>1500000</v>
      </c>
      <c r="P14" s="5"/>
      <c r="Q14" s="5"/>
      <c r="R14" s="5"/>
      <c r="S14" s="5"/>
      <c r="T14" s="5"/>
      <c r="U14" s="5"/>
      <c r="V14" s="5"/>
    </row>
    <row r="15" spans="2:22" ht="15.75" x14ac:dyDescent="0.25">
      <c r="B15" s="392" t="s">
        <v>142</v>
      </c>
      <c r="C15" s="514">
        <f>+'Population Assumptions'!E4</f>
        <v>1278.7</v>
      </c>
      <c r="D15" s="454">
        <v>0.53</v>
      </c>
      <c r="E15" s="393">
        <f>+D15*C15</f>
        <v>677.71100000000001</v>
      </c>
      <c r="F15" s="456">
        <v>372</v>
      </c>
      <c r="G15" s="394">
        <f>+F15*E15</f>
        <v>252108.492</v>
      </c>
      <c r="J15" s="366"/>
      <c r="K15" s="5"/>
      <c r="L15" s="5"/>
      <c r="M15" s="5"/>
      <c r="N15" s="5"/>
      <c r="O15" s="265"/>
      <c r="P15" s="5"/>
      <c r="Q15" s="5"/>
      <c r="R15" s="5"/>
      <c r="S15" s="5"/>
      <c r="T15" s="5"/>
      <c r="U15" s="5"/>
      <c r="V15" s="5"/>
    </row>
    <row r="16" spans="2:22" ht="15.75" x14ac:dyDescent="0.25">
      <c r="B16" s="395" t="s">
        <v>107</v>
      </c>
      <c r="C16" s="515">
        <f>+'Population Assumptions'!E7</f>
        <v>185.65</v>
      </c>
      <c r="D16" s="455">
        <v>0.53</v>
      </c>
      <c r="E16" s="396">
        <f>+D16*C16</f>
        <v>98.394500000000008</v>
      </c>
      <c r="F16" s="457">
        <v>372</v>
      </c>
      <c r="G16" s="397">
        <f>+F16*E16</f>
        <v>36602.754000000001</v>
      </c>
      <c r="J16" s="366"/>
      <c r="K16" s="5"/>
      <c r="L16" s="5"/>
      <c r="M16" s="5"/>
      <c r="N16" s="5"/>
      <c r="O16" s="6">
        <f>+O14/O13</f>
        <v>0.375</v>
      </c>
      <c r="P16" s="5"/>
      <c r="Q16" s="5"/>
      <c r="R16" s="5"/>
      <c r="S16" s="5"/>
      <c r="T16" s="5"/>
      <c r="U16" s="5"/>
      <c r="V16" s="5"/>
    </row>
    <row r="17" spans="2:22" x14ac:dyDescent="0.2">
      <c r="B17" s="69"/>
      <c r="C17" s="365"/>
      <c r="D17" s="23"/>
      <c r="E17" s="18"/>
      <c r="F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2"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2" ht="20.25" x14ac:dyDescent="0.3">
      <c r="B19" s="368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ht="45" x14ac:dyDescent="0.2">
      <c r="C20" s="5"/>
      <c r="D20" s="391" t="s">
        <v>267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ht="15.75" x14ac:dyDescent="0.25">
      <c r="B21" s="3" t="s">
        <v>210</v>
      </c>
      <c r="C21" s="458">
        <v>750000</v>
      </c>
      <c r="D21" s="458">
        <v>92110</v>
      </c>
      <c r="E21" s="318" t="s">
        <v>268</v>
      </c>
      <c r="G21" s="31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2:22" x14ac:dyDescent="0.2">
      <c r="B22" s="4" t="s">
        <v>216</v>
      </c>
      <c r="C22" s="5"/>
      <c r="E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2:22" x14ac:dyDescent="0.2">
      <c r="B23" s="319" t="s">
        <v>217</v>
      </c>
      <c r="C23" s="320"/>
      <c r="E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2:22" x14ac:dyDescent="0.2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2:22" x14ac:dyDescent="0.2">
      <c r="B25" s="369" t="s">
        <v>211</v>
      </c>
      <c r="C25" s="370"/>
      <c r="D25" s="370"/>
      <c r="E25" s="370"/>
      <c r="F25" s="371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2">
      <c r="B26" s="372" t="s">
        <v>215</v>
      </c>
      <c r="C26" s="459">
        <f>317872*3</f>
        <v>953616</v>
      </c>
      <c r="D26" s="461">
        <v>4000000</v>
      </c>
      <c r="E26" s="373" t="s">
        <v>212</v>
      </c>
      <c r="F26" s="37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x14ac:dyDescent="0.2">
      <c r="B27" s="372"/>
      <c r="C27" s="373"/>
      <c r="D27" s="516">
        <f>+'Prelim Development Assumptions'!E10</f>
        <v>1478830</v>
      </c>
      <c r="E27" s="373" t="s">
        <v>213</v>
      </c>
      <c r="F27" s="37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x14ac:dyDescent="0.2">
      <c r="B28" s="375"/>
      <c r="C28" s="376"/>
      <c r="D28" s="517">
        <f>+D27/D26</f>
        <v>0.36970750000000002</v>
      </c>
      <c r="E28" s="376" t="s">
        <v>214</v>
      </c>
      <c r="F28" s="37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x14ac:dyDescent="0.2">
      <c r="B29" s="4" t="s">
        <v>261</v>
      </c>
      <c r="C29" s="5">
        <f>+C26*D28</f>
        <v>352558.98732000001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7.25" x14ac:dyDescent="0.35">
      <c r="B30" s="4" t="s">
        <v>210</v>
      </c>
      <c r="C30" s="378">
        <f>+D21*D28</f>
        <v>34053.757825000001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5.75" x14ac:dyDescent="0.25">
      <c r="B31" s="3" t="s">
        <v>262</v>
      </c>
      <c r="C31" s="379">
        <f>+C30+C29</f>
        <v>386612.74514499999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x14ac:dyDescent="0.2"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2">
      <c r="B33" s="380" t="s">
        <v>301</v>
      </c>
      <c r="C33" s="381"/>
      <c r="D33" s="381"/>
      <c r="E33" s="381"/>
      <c r="F33" s="38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2">
      <c r="B34" s="383" t="s">
        <v>215</v>
      </c>
      <c r="C34" s="460">
        <f>317872*3</f>
        <v>953616</v>
      </c>
      <c r="D34" s="462">
        <v>4000000</v>
      </c>
      <c r="E34" s="384" t="s">
        <v>212</v>
      </c>
      <c r="F34" s="38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2">
      <c r="B35" s="383"/>
      <c r="C35" s="384"/>
      <c r="D35" s="518">
        <f>+'Prelim Development Assumptions'!E15</f>
        <v>252800</v>
      </c>
      <c r="E35" s="384" t="s">
        <v>213</v>
      </c>
      <c r="F35" s="38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2">
      <c r="B36" s="386"/>
      <c r="C36" s="387"/>
      <c r="D36" s="388">
        <f>+D35/D34</f>
        <v>6.3200000000000006E-2</v>
      </c>
      <c r="E36" s="387" t="s">
        <v>214</v>
      </c>
      <c r="F36" s="38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2">
      <c r="B37" s="4" t="s">
        <v>261</v>
      </c>
      <c r="C37" s="5">
        <f>+C34*D36</f>
        <v>60268.531200000005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7.25" x14ac:dyDescent="0.35">
      <c r="B38" s="4" t="s">
        <v>210</v>
      </c>
      <c r="C38" s="378">
        <f>+D36*D21</f>
        <v>5821.3520000000008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ht="15.75" x14ac:dyDescent="0.25">
      <c r="B39" s="3" t="s">
        <v>262</v>
      </c>
      <c r="C39" s="379">
        <f>+C38+C37</f>
        <v>66089.883200000011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ht="15.75" x14ac:dyDescent="0.25">
      <c r="B41" s="399" t="s">
        <v>235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x14ac:dyDescent="0.2">
      <c r="B42" s="4" t="s">
        <v>263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x14ac:dyDescent="0.2">
      <c r="B43" s="4" t="s">
        <v>264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x14ac:dyDescent="0.2">
      <c r="B44" s="4" t="s">
        <v>265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x14ac:dyDescent="0.2">
      <c r="B45" s="4" t="s">
        <v>266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5:22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5:22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5:22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5:22" x14ac:dyDescent="0.2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5:22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5:22" x14ac:dyDescent="0.2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5:22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5:22" x14ac:dyDescent="0.2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5:22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5:22" x14ac:dyDescent="0.2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5:22" x14ac:dyDescent="0.2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5:22" x14ac:dyDescent="0.2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5:22" x14ac:dyDescent="0.2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</sheetData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E21"/>
  <sheetViews>
    <sheetView workbookViewId="0">
      <selection activeCell="G14" sqref="G14"/>
    </sheetView>
  </sheetViews>
  <sheetFormatPr defaultColWidth="9.140625" defaultRowHeight="16.5" x14ac:dyDescent="0.3"/>
  <cols>
    <col min="1" max="1" width="4.28515625" style="15" customWidth="1"/>
    <col min="2" max="2" width="1.85546875" style="15" customWidth="1"/>
    <col min="3" max="3" width="24.5703125" style="15" customWidth="1"/>
    <col min="4" max="4" width="18.85546875" style="15" customWidth="1"/>
    <col min="5" max="6" width="18.42578125" style="15" customWidth="1"/>
    <col min="7" max="8" width="9.140625" style="15"/>
    <col min="9" max="9" width="18" style="15" customWidth="1"/>
    <col min="10" max="16384" width="9.140625" style="15"/>
  </cols>
  <sheetData>
    <row r="2" spans="3:5" ht="23.25" x14ac:dyDescent="0.35">
      <c r="C2" s="132" t="s">
        <v>202</v>
      </c>
    </row>
    <row r="4" spans="3:5" x14ac:dyDescent="0.3">
      <c r="C4" s="248" t="s">
        <v>166</v>
      </c>
      <c r="D4" s="229" t="s">
        <v>152</v>
      </c>
      <c r="E4" s="222"/>
    </row>
    <row r="5" spans="3:5" x14ac:dyDescent="0.3">
      <c r="C5" s="519">
        <v>60250</v>
      </c>
      <c r="D5" s="230" t="s">
        <v>153</v>
      </c>
      <c r="E5" s="230" t="s">
        <v>169</v>
      </c>
    </row>
    <row r="6" spans="3:5" x14ac:dyDescent="0.3">
      <c r="C6" s="226"/>
      <c r="D6" s="229" t="s">
        <v>154</v>
      </c>
      <c r="E6" s="229" t="s">
        <v>170</v>
      </c>
    </row>
    <row r="7" spans="3:5" x14ac:dyDescent="0.3">
      <c r="C7" s="362" t="s">
        <v>164</v>
      </c>
      <c r="D7" s="520">
        <v>6401924</v>
      </c>
      <c r="E7" s="421">
        <f>+D7/C5</f>
        <v>106.256</v>
      </c>
    </row>
    <row r="8" spans="3:5" x14ac:dyDescent="0.3">
      <c r="C8" s="362" t="s">
        <v>148</v>
      </c>
      <c r="D8" s="521">
        <v>2729416</v>
      </c>
      <c r="E8" s="429">
        <f>+D8/C5</f>
        <v>45.301510373443982</v>
      </c>
    </row>
    <row r="9" spans="3:5" x14ac:dyDescent="0.3">
      <c r="C9" s="363" t="s">
        <v>162</v>
      </c>
      <c r="D9" s="423">
        <f>+D8+D7</f>
        <v>9131340</v>
      </c>
      <c r="E9" s="422">
        <f>+E8+E7</f>
        <v>151.55751037344399</v>
      </c>
    </row>
    <row r="10" spans="3:5" x14ac:dyDescent="0.3">
      <c r="C10" s="361"/>
      <c r="D10" s="361"/>
      <c r="E10" s="361"/>
    </row>
    <row r="12" spans="3:5" ht="18.75" x14ac:dyDescent="0.3">
      <c r="C12" s="8" t="s">
        <v>285</v>
      </c>
      <c r="D12"/>
      <c r="E12"/>
    </row>
    <row r="13" spans="3:5" ht="32.25" x14ac:dyDescent="0.3">
      <c r="C13" s="100" t="s">
        <v>142</v>
      </c>
      <c r="D13" s="102" t="s">
        <v>286</v>
      </c>
      <c r="E13" s="101" t="s">
        <v>287</v>
      </c>
    </row>
    <row r="14" spans="3:5" x14ac:dyDescent="0.3">
      <c r="C14" s="426" t="s">
        <v>164</v>
      </c>
      <c r="D14" s="522">
        <f>+'Population Assumptions'!E4</f>
        <v>1278.7</v>
      </c>
      <c r="E14" s="430">
        <f>+E7*D14</f>
        <v>135869.5472</v>
      </c>
    </row>
    <row r="15" spans="3:5" x14ac:dyDescent="0.3">
      <c r="C15" s="426" t="s">
        <v>148</v>
      </c>
      <c r="D15" s="522">
        <f>+D14</f>
        <v>1278.7</v>
      </c>
      <c r="E15" s="430">
        <f>+D15*E8</f>
        <v>57927.041314522823</v>
      </c>
    </row>
    <row r="16" spans="3:5" x14ac:dyDescent="0.3">
      <c r="C16" s="431" t="s">
        <v>288</v>
      </c>
      <c r="D16" s="432"/>
      <c r="E16" s="398">
        <f>+E15+E14</f>
        <v>193796.58851452282</v>
      </c>
    </row>
    <row r="17" spans="3:5" ht="32.25" x14ac:dyDescent="0.3">
      <c r="C17" s="424" t="s">
        <v>107</v>
      </c>
      <c r="D17" s="425" t="s">
        <v>286</v>
      </c>
      <c r="E17" s="428" t="s">
        <v>51</v>
      </c>
    </row>
    <row r="18" spans="3:5" x14ac:dyDescent="0.3">
      <c r="C18" s="426" t="s">
        <v>164</v>
      </c>
      <c r="D18" s="522">
        <f>+'Population Assumptions'!E7</f>
        <v>185.65</v>
      </c>
      <c r="E18" s="430">
        <f>+D18*E7</f>
        <v>19726.4264</v>
      </c>
    </row>
    <row r="19" spans="3:5" x14ac:dyDescent="0.3">
      <c r="C19" s="426" t="s">
        <v>148</v>
      </c>
      <c r="D19" s="522">
        <f>+D18</f>
        <v>185.65</v>
      </c>
      <c r="E19" s="430">
        <f>+D19*E8</f>
        <v>8410.2254008298751</v>
      </c>
    </row>
    <row r="20" spans="3:5" x14ac:dyDescent="0.3">
      <c r="C20" s="427" t="s">
        <v>288</v>
      </c>
      <c r="D20" s="10"/>
      <c r="E20" s="398">
        <f>+E19+E18</f>
        <v>28136.651800829874</v>
      </c>
    </row>
    <row r="21" spans="3:5" x14ac:dyDescent="0.3">
      <c r="C21" s="13"/>
      <c r="D21"/>
      <c r="E21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53"/>
  <sheetViews>
    <sheetView showGridLines="0" topLeftCell="A16" workbookViewId="0">
      <selection activeCell="I35" sqref="I35"/>
    </sheetView>
  </sheetViews>
  <sheetFormatPr defaultColWidth="9.140625" defaultRowHeight="16.5" x14ac:dyDescent="0.3"/>
  <cols>
    <col min="1" max="1" width="7.85546875" style="15" customWidth="1"/>
    <col min="2" max="2" width="1.85546875" style="15" customWidth="1"/>
    <col min="3" max="3" width="24.5703125" style="15" customWidth="1"/>
    <col min="4" max="4" width="25.28515625" style="15" customWidth="1"/>
    <col min="5" max="6" width="18.42578125" style="15" customWidth="1"/>
    <col min="7" max="8" width="9.140625" style="15"/>
    <col min="9" max="9" width="18" style="15" customWidth="1"/>
    <col min="10" max="16384" width="9.140625" style="15"/>
  </cols>
  <sheetData>
    <row r="2" spans="1:9" ht="23.25" x14ac:dyDescent="0.35">
      <c r="C2" s="307" t="s">
        <v>204</v>
      </c>
      <c r="D2" s="308"/>
      <c r="E2" s="308"/>
      <c r="F2" s="308"/>
    </row>
    <row r="3" spans="1:9" ht="10.9" customHeight="1" thickBot="1" x14ac:dyDescent="0.35">
      <c r="C3" s="308"/>
      <c r="D3" s="308"/>
      <c r="E3" s="308"/>
      <c r="F3" s="308"/>
    </row>
    <row r="4" spans="1:9" x14ac:dyDescent="0.3">
      <c r="C4" s="309"/>
      <c r="D4" s="310"/>
      <c r="E4" s="311"/>
      <c r="F4" s="312"/>
      <c r="I4" s="269"/>
    </row>
    <row r="5" spans="1:9" ht="32.25" x14ac:dyDescent="0.3">
      <c r="A5" s="17"/>
      <c r="B5" s="17"/>
      <c r="C5" s="313" t="s">
        <v>203</v>
      </c>
      <c r="D5" s="314" t="s">
        <v>200</v>
      </c>
      <c r="E5" s="323" t="s">
        <v>107</v>
      </c>
      <c r="F5" s="322" t="s">
        <v>112</v>
      </c>
      <c r="I5" s="269"/>
    </row>
    <row r="6" spans="1:9" x14ac:dyDescent="0.3">
      <c r="A6" s="17"/>
      <c r="B6" s="17"/>
      <c r="C6" s="315" t="s">
        <v>208</v>
      </c>
      <c r="D6" s="298"/>
      <c r="E6" s="299"/>
      <c r="F6" s="300"/>
    </row>
    <row r="7" spans="1:9" x14ac:dyDescent="0.3">
      <c r="A7" s="17"/>
      <c r="B7" s="17"/>
      <c r="C7" s="301" t="s">
        <v>187</v>
      </c>
      <c r="D7" s="302" t="s">
        <v>201</v>
      </c>
      <c r="E7" s="463">
        <v>18700</v>
      </c>
      <c r="F7" s="463">
        <v>0</v>
      </c>
      <c r="I7" s="268"/>
    </row>
    <row r="8" spans="1:9" x14ac:dyDescent="0.3">
      <c r="A8" s="17"/>
      <c r="B8" s="17"/>
      <c r="C8" s="294" t="s">
        <v>188</v>
      </c>
      <c r="D8" s="302" t="s">
        <v>201</v>
      </c>
      <c r="E8" s="463">
        <v>22500</v>
      </c>
      <c r="F8" s="463">
        <v>0</v>
      </c>
      <c r="I8" s="274"/>
    </row>
    <row r="9" spans="1:9" ht="17.25" thickBot="1" x14ac:dyDescent="0.35">
      <c r="A9" s="17"/>
      <c r="B9" s="17"/>
      <c r="C9" s="294" t="s">
        <v>52</v>
      </c>
      <c r="D9" s="302" t="s">
        <v>201</v>
      </c>
      <c r="E9" s="463">
        <v>1000</v>
      </c>
      <c r="F9" s="463">
        <v>0</v>
      </c>
    </row>
    <row r="10" spans="1:9" ht="17.25" thickBot="1" x14ac:dyDescent="0.35">
      <c r="C10" s="303" t="s">
        <v>20</v>
      </c>
      <c r="D10" s="304"/>
      <c r="E10" s="305">
        <f>SUM(E7:E9)</f>
        <v>42200</v>
      </c>
      <c r="F10" s="306">
        <f>SUM(F7:F9)</f>
        <v>0</v>
      </c>
    </row>
    <row r="11" spans="1:9" x14ac:dyDescent="0.3">
      <c r="C11" s="291" t="s">
        <v>185</v>
      </c>
      <c r="D11" s="292"/>
      <c r="E11" s="292"/>
      <c r="F11" s="292"/>
    </row>
    <row r="12" spans="1:9" x14ac:dyDescent="0.3">
      <c r="C12" s="292"/>
      <c r="D12" s="292"/>
      <c r="E12" s="292"/>
      <c r="F12" s="292"/>
    </row>
    <row r="13" spans="1:9" x14ac:dyDescent="0.3">
      <c r="C13" s="294" t="s">
        <v>4</v>
      </c>
      <c r="D13" s="295" t="s">
        <v>191</v>
      </c>
      <c r="E13" s="523">
        <f>+'Per-capita Cost of Services'!D35</f>
        <v>19726.4264</v>
      </c>
      <c r="F13" s="523">
        <f>+'Per-capita Cost of Services'!E35</f>
        <v>135869.5472</v>
      </c>
    </row>
    <row r="14" spans="1:9" x14ac:dyDescent="0.3">
      <c r="C14" s="294" t="s">
        <v>192</v>
      </c>
      <c r="D14" s="296" t="s">
        <v>191</v>
      </c>
      <c r="E14" s="524">
        <f>+'Per-capita Cost of Services'!D36</f>
        <v>8410.2254008298751</v>
      </c>
      <c r="F14" s="524">
        <f>+'Per-capita Cost of Services'!E36</f>
        <v>57927.041314522823</v>
      </c>
    </row>
    <row r="15" spans="1:9" x14ac:dyDescent="0.3">
      <c r="C15" s="57" t="s">
        <v>193</v>
      </c>
      <c r="D15" s="293" t="s">
        <v>207</v>
      </c>
      <c r="E15" s="524">
        <f>+'Public Safety Costs'!C8</f>
        <v>36602.754000000001</v>
      </c>
      <c r="F15" s="524">
        <f>+'Public Safety Costs'!C5</f>
        <v>252108.492</v>
      </c>
    </row>
    <row r="16" spans="1:9" x14ac:dyDescent="0.3">
      <c r="C16" s="57" t="s">
        <v>194</v>
      </c>
      <c r="D16" s="293" t="s">
        <v>207</v>
      </c>
      <c r="E16" s="524">
        <f>+'Public Safety Costs'!D8</f>
        <v>66089.883200000011</v>
      </c>
      <c r="F16" s="524">
        <f>+'Public Safety Costs'!D5</f>
        <v>386612.74514499999</v>
      </c>
    </row>
    <row r="17" spans="3:6" x14ac:dyDescent="0.3">
      <c r="C17" s="57" t="s">
        <v>7</v>
      </c>
      <c r="D17" s="293" t="s">
        <v>196</v>
      </c>
      <c r="E17" s="524">
        <f>+'Town Tax Breakout'!F8</f>
        <v>24064.811653238867</v>
      </c>
      <c r="F17" s="524">
        <f>+'Town Tax Breakout'!E8</f>
        <v>157217.14802598165</v>
      </c>
    </row>
    <row r="18" spans="3:6" x14ac:dyDescent="0.3">
      <c r="C18" s="57" t="s">
        <v>197</v>
      </c>
      <c r="D18" s="293" t="s">
        <v>199</v>
      </c>
      <c r="E18" s="297">
        <v>0</v>
      </c>
      <c r="F18" s="297">
        <v>0</v>
      </c>
    </row>
    <row r="19" spans="3:6" x14ac:dyDescent="0.3">
      <c r="C19" s="57" t="s">
        <v>149</v>
      </c>
      <c r="D19" s="293" t="s">
        <v>218</v>
      </c>
      <c r="E19" s="297">
        <f>+SUM(E10:E18)*0.13</f>
        <v>25622.23308502894</v>
      </c>
      <c r="F19" s="297">
        <f>+SUM(F10:F18)*0.13</f>
        <v>128665.54657911557</v>
      </c>
    </row>
    <row r="20" spans="3:6" x14ac:dyDescent="0.3">
      <c r="C20" s="57" t="s">
        <v>219</v>
      </c>
      <c r="D20" s="293" t="s">
        <v>221</v>
      </c>
      <c r="E20" s="297">
        <f>SUM(E10:E18)*0.13</f>
        <v>25622.23308502894</v>
      </c>
      <c r="F20" s="297">
        <f>SUM(F10:F18)*0.13</f>
        <v>128665.54657911557</v>
      </c>
    </row>
    <row r="21" spans="3:6" ht="17.25" thickBot="1" x14ac:dyDescent="0.35">
      <c r="C21" s="292"/>
      <c r="D21" s="292"/>
      <c r="E21" s="292"/>
      <c r="F21" s="292"/>
    </row>
    <row r="22" spans="3:6" ht="17.25" thickBot="1" x14ac:dyDescent="0.35">
      <c r="C22" s="303" t="s">
        <v>20</v>
      </c>
      <c r="D22" s="304"/>
      <c r="E22" s="305">
        <f>SUM(E7:E20)</f>
        <v>290538.56682412664</v>
      </c>
      <c r="F22" s="306">
        <f>SUM(F10:F20)</f>
        <v>1247066.0668437355</v>
      </c>
    </row>
    <row r="23" spans="3:6" x14ac:dyDescent="0.3">
      <c r="C23" s="292"/>
      <c r="D23" s="292"/>
      <c r="E23" s="292"/>
      <c r="F23" s="292"/>
    </row>
    <row r="24" spans="3:6" ht="23.25" x14ac:dyDescent="0.35">
      <c r="C24" s="316" t="s">
        <v>209</v>
      </c>
      <c r="D24" s="317"/>
      <c r="E24" s="317"/>
      <c r="F24" s="308"/>
    </row>
    <row r="25" spans="3:6" ht="17.25" thickBot="1" x14ac:dyDescent="0.35">
      <c r="C25" s="308"/>
      <c r="D25" s="308"/>
      <c r="E25" s="308"/>
      <c r="F25" s="308"/>
    </row>
    <row r="26" spans="3:6" x14ac:dyDescent="0.3">
      <c r="C26" s="309"/>
      <c r="D26" s="310"/>
      <c r="E26" s="311"/>
      <c r="F26" s="312"/>
    </row>
    <row r="27" spans="3:6" ht="32.25" x14ac:dyDescent="0.3">
      <c r="C27" s="313" t="s">
        <v>203</v>
      </c>
      <c r="D27" s="314" t="s">
        <v>200</v>
      </c>
      <c r="E27" s="323" t="s">
        <v>107</v>
      </c>
      <c r="F27" s="322" t="s">
        <v>112</v>
      </c>
    </row>
    <row r="28" spans="3:6" x14ac:dyDescent="0.3">
      <c r="C28" s="315" t="s">
        <v>208</v>
      </c>
      <c r="D28" s="298"/>
      <c r="E28" s="299"/>
      <c r="F28" s="300"/>
    </row>
    <row r="29" spans="3:6" x14ac:dyDescent="0.3">
      <c r="C29" s="301" t="s">
        <v>187</v>
      </c>
      <c r="D29" s="302" t="s">
        <v>201</v>
      </c>
      <c r="E29" s="463">
        <v>6500</v>
      </c>
      <c r="F29" s="297">
        <v>0</v>
      </c>
    </row>
    <row r="30" spans="3:6" x14ac:dyDescent="0.3">
      <c r="C30" s="57" t="s">
        <v>197</v>
      </c>
      <c r="D30" s="302" t="s">
        <v>201</v>
      </c>
      <c r="E30" s="463">
        <v>0</v>
      </c>
      <c r="F30" s="524">
        <f>'Permit Revenue_Cost'!D12</f>
        <v>89726.983469820771</v>
      </c>
    </row>
    <row r="31" spans="3:6" ht="17.25" thickBot="1" x14ac:dyDescent="0.35">
      <c r="C31" s="292"/>
      <c r="D31" s="292"/>
      <c r="E31" s="292"/>
      <c r="F31" s="292"/>
    </row>
    <row r="32" spans="3:6" ht="17.25" thickBot="1" x14ac:dyDescent="0.35">
      <c r="C32" s="303" t="s">
        <v>20</v>
      </c>
      <c r="D32" s="304"/>
      <c r="E32" s="305">
        <f>SUM(E28:E30)</f>
        <v>6500</v>
      </c>
      <c r="F32" s="306">
        <f>SUM(F28:F30)</f>
        <v>89726.983469820771</v>
      </c>
    </row>
    <row r="35" spans="3:4" x14ac:dyDescent="0.3">
      <c r="C35" s="403" t="s">
        <v>235</v>
      </c>
    </row>
    <row r="36" spans="3:4" x14ac:dyDescent="0.3">
      <c r="C36" s="445" t="s">
        <v>289</v>
      </c>
    </row>
    <row r="37" spans="3:4" x14ac:dyDescent="0.3">
      <c r="C37" s="445" t="s">
        <v>290</v>
      </c>
    </row>
    <row r="38" spans="3:4" x14ac:dyDescent="0.3">
      <c r="C38" s="445" t="s">
        <v>291</v>
      </c>
    </row>
    <row r="39" spans="3:4" x14ac:dyDescent="0.3">
      <c r="C39" s="445" t="s">
        <v>297</v>
      </c>
    </row>
    <row r="40" spans="3:4" x14ac:dyDescent="0.3">
      <c r="C40" s="406"/>
    </row>
    <row r="41" spans="3:4" x14ac:dyDescent="0.3">
      <c r="C41" s="14" t="s">
        <v>189</v>
      </c>
      <c r="D41" s="14" t="s">
        <v>190</v>
      </c>
    </row>
    <row r="42" spans="3:4" x14ac:dyDescent="0.3">
      <c r="C42" s="433" t="s">
        <v>208</v>
      </c>
      <c r="D42" s="434"/>
    </row>
    <row r="43" spans="3:4" x14ac:dyDescent="0.3">
      <c r="C43" s="433" t="s">
        <v>187</v>
      </c>
      <c r="D43" s="433" t="s">
        <v>199</v>
      </c>
    </row>
    <row r="44" spans="3:4" x14ac:dyDescent="0.3">
      <c r="C44" s="433" t="s">
        <v>188</v>
      </c>
      <c r="D44" s="433" t="s">
        <v>199</v>
      </c>
    </row>
    <row r="45" spans="3:4" x14ac:dyDescent="0.3">
      <c r="C45" s="433" t="s">
        <v>52</v>
      </c>
      <c r="D45" s="433" t="s">
        <v>199</v>
      </c>
    </row>
    <row r="46" spans="3:4" x14ac:dyDescent="0.3">
      <c r="C46" s="433" t="s">
        <v>4</v>
      </c>
      <c r="D46" s="433" t="s">
        <v>191</v>
      </c>
    </row>
    <row r="47" spans="3:4" x14ac:dyDescent="0.3">
      <c r="C47" s="433" t="s">
        <v>192</v>
      </c>
      <c r="D47" s="433" t="s">
        <v>191</v>
      </c>
    </row>
    <row r="48" spans="3:4" x14ac:dyDescent="0.3">
      <c r="C48" s="433" t="s">
        <v>193</v>
      </c>
      <c r="D48" s="433" t="s">
        <v>198</v>
      </c>
    </row>
    <row r="49" spans="3:4" x14ac:dyDescent="0.3">
      <c r="C49" s="433" t="s">
        <v>194</v>
      </c>
      <c r="D49" s="433" t="s">
        <v>198</v>
      </c>
    </row>
    <row r="50" spans="3:4" x14ac:dyDescent="0.3">
      <c r="C50" s="433" t="s">
        <v>195</v>
      </c>
      <c r="D50" s="433" t="s">
        <v>196</v>
      </c>
    </row>
    <row r="51" spans="3:4" x14ac:dyDescent="0.3">
      <c r="C51" s="433" t="s">
        <v>197</v>
      </c>
      <c r="D51" s="433" t="s">
        <v>199</v>
      </c>
    </row>
    <row r="52" spans="3:4" x14ac:dyDescent="0.3">
      <c r="C52" s="433" t="s">
        <v>149</v>
      </c>
      <c r="D52" s="433" t="s">
        <v>218</v>
      </c>
    </row>
    <row r="53" spans="3:4" x14ac:dyDescent="0.3">
      <c r="C53" s="433" t="s">
        <v>284</v>
      </c>
      <c r="D53" s="433" t="s">
        <v>218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3:P34"/>
  <sheetViews>
    <sheetView showGridLines="0" workbookViewId="0">
      <selection activeCell="I27" sqref="I27"/>
    </sheetView>
  </sheetViews>
  <sheetFormatPr defaultRowHeight="12.75" x14ac:dyDescent="0.2"/>
  <cols>
    <col min="2" max="2" width="26.7109375" customWidth="1"/>
    <col min="3" max="3" width="13.28515625" customWidth="1"/>
    <col min="4" max="4" width="12.7109375" customWidth="1"/>
    <col min="5" max="5" width="12.42578125" customWidth="1"/>
    <col min="6" max="6" width="9.7109375" customWidth="1"/>
    <col min="7" max="7" width="12.140625" customWidth="1"/>
    <col min="8" max="8" width="11.7109375" customWidth="1"/>
    <col min="9" max="9" width="13.7109375" customWidth="1"/>
    <col min="10" max="10" width="10.42578125" hidden="1" customWidth="1"/>
    <col min="11" max="13" width="10.42578125" bestFit="1" customWidth="1"/>
  </cols>
  <sheetData>
    <row r="3" spans="1:16" ht="19.5" thickBot="1" x14ac:dyDescent="0.35">
      <c r="B3" s="8" t="s">
        <v>10</v>
      </c>
    </row>
    <row r="4" spans="1:16" ht="32.25" thickBot="1" x14ac:dyDescent="0.3">
      <c r="B4" s="62" t="s">
        <v>112</v>
      </c>
      <c r="C4" s="63" t="s">
        <v>11</v>
      </c>
      <c r="D4" s="63" t="s">
        <v>12</v>
      </c>
      <c r="E4" s="147" t="s">
        <v>8</v>
      </c>
    </row>
    <row r="5" spans="1:16" ht="15.75" x14ac:dyDescent="0.25">
      <c r="B5" s="61" t="s">
        <v>92</v>
      </c>
      <c r="C5" s="531">
        <f>+'Prelim Development Assumptions'!D9</f>
        <v>673</v>
      </c>
      <c r="D5" s="532">
        <v>1286</v>
      </c>
      <c r="E5" s="146">
        <f>+D5*C5</f>
        <v>865478</v>
      </c>
    </row>
    <row r="6" spans="1:16" ht="16.5" thickBot="1" x14ac:dyDescent="0.3">
      <c r="B6" s="145"/>
      <c r="C6" s="58"/>
      <c r="D6" s="59"/>
      <c r="E6" s="59"/>
    </row>
    <row r="7" spans="1:16" ht="32.25" thickBot="1" x14ac:dyDescent="0.3">
      <c r="B7" s="148" t="s">
        <v>107</v>
      </c>
      <c r="C7" s="149" t="s">
        <v>11</v>
      </c>
      <c r="D7" s="149" t="s">
        <v>12</v>
      </c>
      <c r="E7" s="150" t="s">
        <v>8</v>
      </c>
    </row>
    <row r="8" spans="1:16" ht="15.75" x14ac:dyDescent="0.25">
      <c r="B8" s="61" t="s">
        <v>92</v>
      </c>
      <c r="C8" s="531">
        <f>+'Prelim Development Assumptions'!D15</f>
        <v>79</v>
      </c>
      <c r="D8" s="532">
        <v>11423</v>
      </c>
      <c r="E8" s="146">
        <f>+D8*C8</f>
        <v>902417</v>
      </c>
    </row>
    <row r="11" spans="1:16" x14ac:dyDescent="0.2">
      <c r="B11" s="13"/>
    </row>
    <row r="12" spans="1:16" ht="18.75" x14ac:dyDescent="0.3">
      <c r="B12" s="552" t="s">
        <v>309</v>
      </c>
      <c r="F12" s="8"/>
      <c r="G12" s="70"/>
      <c r="H12" s="70"/>
      <c r="I12" s="70"/>
      <c r="J12" s="70"/>
      <c r="K12" s="70"/>
      <c r="L12" s="70"/>
      <c r="M12" s="70"/>
    </row>
    <row r="13" spans="1:16" ht="48" thickBot="1" x14ac:dyDescent="0.3">
      <c r="B13" s="152" t="s">
        <v>112</v>
      </c>
      <c r="C13" s="102" t="s">
        <v>95</v>
      </c>
      <c r="D13" s="102" t="s">
        <v>96</v>
      </c>
      <c r="E13" s="102" t="s">
        <v>97</v>
      </c>
      <c r="F13" s="101" t="s">
        <v>98</v>
      </c>
      <c r="G13" s="106" t="s">
        <v>100</v>
      </c>
      <c r="H13" s="45" t="s">
        <v>101</v>
      </c>
      <c r="I13" s="45" t="s">
        <v>114</v>
      </c>
      <c r="J13" s="364" t="s">
        <v>231</v>
      </c>
      <c r="K13" s="70"/>
      <c r="L13" s="70"/>
      <c r="M13" s="70"/>
    </row>
    <row r="14" spans="1:16" ht="16.5" thickBot="1" x14ac:dyDescent="0.3">
      <c r="B14" s="9" t="s">
        <v>93</v>
      </c>
      <c r="C14" s="527">
        <v>0.1</v>
      </c>
      <c r="D14" s="528">
        <v>0.04</v>
      </c>
      <c r="E14" s="528">
        <v>0.05</v>
      </c>
      <c r="F14" s="156">
        <f>SUM(C14:E14)</f>
        <v>0.19</v>
      </c>
      <c r="G14" s="525">
        <f>+'Prelim Development Assumptions'!D9</f>
        <v>673</v>
      </c>
      <c r="H14" s="151">
        <v>0</v>
      </c>
      <c r="I14" s="551">
        <f>F14*G14</f>
        <v>127.87</v>
      </c>
      <c r="J14" s="550">
        <v>56</v>
      </c>
      <c r="K14" s="67"/>
      <c r="L14" s="67"/>
      <c r="M14" s="67"/>
      <c r="N14" s="4"/>
      <c r="O14" s="4"/>
      <c r="P14" s="4"/>
    </row>
    <row r="15" spans="1:16" ht="15.75" x14ac:dyDescent="0.25">
      <c r="A15" s="33"/>
      <c r="B15" s="145"/>
      <c r="C15" s="157"/>
      <c r="D15" s="158"/>
      <c r="E15" s="158"/>
      <c r="F15" s="159"/>
      <c r="G15" s="153"/>
      <c r="H15" s="153"/>
      <c r="I15" s="154"/>
      <c r="J15" s="67"/>
      <c r="K15" s="67"/>
      <c r="L15" s="67"/>
      <c r="M15" s="67"/>
      <c r="N15" s="4"/>
      <c r="O15" s="4"/>
      <c r="P15" s="4"/>
    </row>
    <row r="16" spans="1:16" ht="48" thickBot="1" x14ac:dyDescent="0.3">
      <c r="B16" s="161" t="s">
        <v>107</v>
      </c>
      <c r="C16" s="143" t="s">
        <v>95</v>
      </c>
      <c r="D16" s="143" t="s">
        <v>96</v>
      </c>
      <c r="E16" s="143" t="s">
        <v>97</v>
      </c>
      <c r="F16" s="144" t="s">
        <v>98</v>
      </c>
      <c r="G16" s="162" t="s">
        <v>100</v>
      </c>
      <c r="H16" s="144" t="s">
        <v>101</v>
      </c>
      <c r="I16" s="144" t="s">
        <v>114</v>
      </c>
      <c r="J16" s="67"/>
      <c r="K16" s="67"/>
      <c r="L16" s="67"/>
      <c r="M16" s="67"/>
      <c r="N16" s="4"/>
      <c r="O16" s="4"/>
      <c r="P16" s="4"/>
    </row>
    <row r="17" spans="2:16" ht="19.149999999999999" customHeight="1" thickBot="1" x14ac:dyDescent="0.3">
      <c r="B17" s="61" t="s">
        <v>94</v>
      </c>
      <c r="C17" s="529">
        <v>0.34</v>
      </c>
      <c r="D17" s="529">
        <v>0.23</v>
      </c>
      <c r="E17" s="529">
        <v>0.21</v>
      </c>
      <c r="F17" s="160">
        <f>SUM(C17:E17)</f>
        <v>0.78</v>
      </c>
      <c r="G17" s="155">
        <v>0</v>
      </c>
      <c r="H17" s="526">
        <f>+'Prelim Development Assumptions'!D15</f>
        <v>79</v>
      </c>
      <c r="I17" s="551">
        <f>F17*H17</f>
        <v>61.620000000000005</v>
      </c>
      <c r="J17" s="550">
        <v>48</v>
      </c>
      <c r="K17" s="67"/>
      <c r="L17" s="67"/>
      <c r="M17" s="67"/>
      <c r="N17" s="4"/>
      <c r="O17" s="4"/>
      <c r="P17" s="4"/>
    </row>
    <row r="18" spans="2:16" ht="7.15" customHeight="1" x14ac:dyDescent="0.25">
      <c r="G18" s="70"/>
      <c r="H18" s="70"/>
      <c r="I18" s="70"/>
      <c r="J18" s="71"/>
      <c r="K18" s="71"/>
      <c r="L18" s="71"/>
      <c r="M18" s="71"/>
      <c r="N18" s="4"/>
      <c r="O18" s="4"/>
      <c r="P18" s="4"/>
    </row>
    <row r="19" spans="2:16" ht="18.75" hidden="1" x14ac:dyDescent="0.3">
      <c r="B19" s="8" t="s">
        <v>99</v>
      </c>
      <c r="F19" s="8"/>
      <c r="G19" s="72"/>
      <c r="H19" s="72"/>
      <c r="I19" s="72"/>
      <c r="J19" s="68"/>
      <c r="K19" s="68"/>
      <c r="L19" s="68"/>
      <c r="M19" s="68"/>
      <c r="N19" s="4"/>
      <c r="O19" s="4"/>
      <c r="P19" s="4"/>
    </row>
    <row r="20" spans="2:16" ht="31.5" hidden="1" x14ac:dyDescent="0.25">
      <c r="B20" s="100"/>
      <c r="C20" s="102" t="s">
        <v>95</v>
      </c>
      <c r="D20" s="102" t="s">
        <v>96</v>
      </c>
      <c r="E20" s="102" t="s">
        <v>97</v>
      </c>
      <c r="F20" s="101" t="s">
        <v>98</v>
      </c>
      <c r="G20" s="106" t="s">
        <v>100</v>
      </c>
      <c r="H20" s="45" t="s">
        <v>101</v>
      </c>
      <c r="I20" s="45" t="s">
        <v>102</v>
      </c>
      <c r="J20" s="68"/>
      <c r="K20" s="68"/>
      <c r="L20" s="73"/>
      <c r="M20" s="73"/>
      <c r="N20" s="4"/>
      <c r="O20" s="4"/>
      <c r="P20" s="4"/>
    </row>
    <row r="21" spans="2:16" ht="15.75" hidden="1" x14ac:dyDescent="0.25">
      <c r="B21" s="9" t="s">
        <v>93</v>
      </c>
      <c r="C21" s="98">
        <v>6.6000000000000003E-2</v>
      </c>
      <c r="D21" s="99">
        <v>2.1999999999999999E-2</v>
      </c>
      <c r="E21" s="99">
        <v>3.4000000000000002E-2</v>
      </c>
      <c r="F21" s="104">
        <f>SUM(C21:E21)</f>
        <v>0.122</v>
      </c>
      <c r="G21" s="107">
        <v>673</v>
      </c>
      <c r="H21" s="107">
        <v>0</v>
      </c>
      <c r="I21" s="107">
        <f>F21*G21</f>
        <v>82.105999999999995</v>
      </c>
      <c r="J21" s="68"/>
      <c r="K21" s="68"/>
      <c r="L21" s="68"/>
      <c r="M21" s="68"/>
      <c r="N21" s="4"/>
      <c r="O21" s="4"/>
      <c r="P21" s="4"/>
    </row>
    <row r="22" spans="2:16" ht="18" hidden="1" x14ac:dyDescent="0.25">
      <c r="B22" s="61" t="s">
        <v>94</v>
      </c>
      <c r="C22" s="103">
        <v>0.16800000000000001</v>
      </c>
      <c r="D22" s="103">
        <v>0.09</v>
      </c>
      <c r="E22" s="103">
        <v>0.126</v>
      </c>
      <c r="F22" s="105">
        <f>SUM(C22:E22)</f>
        <v>0.38400000000000001</v>
      </c>
      <c r="G22" s="108"/>
      <c r="H22" s="107">
        <v>79</v>
      </c>
      <c r="I22" s="107">
        <f>F22*H22</f>
        <v>30.336000000000002</v>
      </c>
      <c r="J22" s="68"/>
      <c r="K22" s="68"/>
      <c r="L22" s="68"/>
      <c r="M22" s="68"/>
      <c r="N22" s="4"/>
      <c r="O22" s="4"/>
      <c r="P22" s="4"/>
    </row>
    <row r="23" spans="2:16" ht="15" hidden="1" x14ac:dyDescent="0.2">
      <c r="G23" s="75"/>
      <c r="H23" s="75"/>
      <c r="I23" s="75"/>
      <c r="J23" s="67"/>
      <c r="K23" s="67"/>
      <c r="L23" s="67"/>
      <c r="M23" s="67"/>
      <c r="N23" s="4"/>
      <c r="O23" s="4"/>
      <c r="P23" s="4"/>
    </row>
    <row r="24" spans="2:16" ht="15.75" x14ac:dyDescent="0.25">
      <c r="B24" s="221" t="s">
        <v>147</v>
      </c>
      <c r="G24" s="74"/>
      <c r="H24" s="74"/>
      <c r="I24" s="74"/>
      <c r="J24" s="67"/>
      <c r="K24" s="67"/>
      <c r="L24" s="67"/>
      <c r="M24" s="67"/>
      <c r="N24" s="4"/>
      <c r="O24" s="4"/>
      <c r="P24" s="4"/>
    </row>
    <row r="25" spans="2:16" ht="15" x14ac:dyDescent="0.2">
      <c r="G25" s="70"/>
      <c r="H25" s="70"/>
      <c r="I25" s="70"/>
      <c r="J25" s="67"/>
      <c r="K25" s="67"/>
      <c r="L25" s="67"/>
      <c r="M25" s="67"/>
      <c r="N25" s="4"/>
      <c r="O25" s="4"/>
      <c r="P25" s="4"/>
    </row>
    <row r="26" spans="2:16" x14ac:dyDescent="0.2">
      <c r="G26" s="70"/>
      <c r="H26" s="70"/>
      <c r="I26" s="70"/>
      <c r="J26" s="70"/>
      <c r="K26" s="70"/>
      <c r="L26" s="70"/>
      <c r="M26" s="70"/>
    </row>
    <row r="28" spans="2:16" ht="18.75" x14ac:dyDescent="0.3">
      <c r="B28" s="8" t="s">
        <v>113</v>
      </c>
      <c r="F28" s="8"/>
      <c r="G28" s="70"/>
      <c r="H28" s="70"/>
      <c r="I28" s="70"/>
      <c r="J28" s="70"/>
    </row>
    <row r="29" spans="2:16" ht="47.25" x14ac:dyDescent="0.25">
      <c r="B29" s="152" t="s">
        <v>112</v>
      </c>
      <c r="C29" s="106" t="s">
        <v>100</v>
      </c>
      <c r="D29" s="45" t="s">
        <v>101</v>
      </c>
      <c r="E29" s="106" t="s">
        <v>232</v>
      </c>
      <c r="F29" s="60"/>
      <c r="J29" s="70"/>
    </row>
    <row r="30" spans="2:16" ht="15.75" x14ac:dyDescent="0.25">
      <c r="B30" s="9" t="s">
        <v>93</v>
      </c>
      <c r="C30" s="525">
        <f>+G14</f>
        <v>673</v>
      </c>
      <c r="D30" s="151">
        <v>0</v>
      </c>
      <c r="E30" s="530">
        <f>+I14</f>
        <v>127.87</v>
      </c>
      <c r="F30" s="346"/>
      <c r="J30" s="67"/>
    </row>
    <row r="31" spans="2:16" ht="15.75" x14ac:dyDescent="0.25">
      <c r="B31" s="145"/>
      <c r="C31" s="153"/>
      <c r="D31" s="153"/>
      <c r="E31" s="154"/>
      <c r="F31" s="346"/>
      <c r="J31" s="67"/>
    </row>
    <row r="32" spans="2:16" ht="47.25" x14ac:dyDescent="0.25">
      <c r="B32" s="161" t="s">
        <v>107</v>
      </c>
      <c r="C32" s="162" t="s">
        <v>100</v>
      </c>
      <c r="D32" s="144" t="s">
        <v>101</v>
      </c>
      <c r="E32" s="162" t="s">
        <v>232</v>
      </c>
      <c r="F32" s="60"/>
      <c r="J32" s="67"/>
    </row>
    <row r="33" spans="2:10" ht="15.75" x14ac:dyDescent="0.25">
      <c r="B33" s="61" t="s">
        <v>94</v>
      </c>
      <c r="C33" s="155">
        <v>0</v>
      </c>
      <c r="D33" s="526">
        <f>+H17</f>
        <v>79</v>
      </c>
      <c r="E33" s="530">
        <f>+I17</f>
        <v>61.620000000000005</v>
      </c>
      <c r="F33" s="346"/>
      <c r="J33" s="67"/>
    </row>
    <row r="34" spans="2:10" ht="15.75" x14ac:dyDescent="0.25">
      <c r="B34" s="13" t="s">
        <v>233</v>
      </c>
      <c r="G34" s="70"/>
      <c r="H34" s="70"/>
      <c r="I34" s="70"/>
      <c r="J34" s="71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M30"/>
  <sheetViews>
    <sheetView showGridLines="0" topLeftCell="A8" workbookViewId="0">
      <selection activeCell="D5" sqref="D5"/>
    </sheetView>
  </sheetViews>
  <sheetFormatPr defaultRowHeight="12.75" x14ac:dyDescent="0.2"/>
  <cols>
    <col min="2" max="2" width="32.7109375" customWidth="1"/>
    <col min="3" max="3" width="18.5703125" style="1" customWidth="1"/>
    <col min="4" max="4" width="20" style="1" customWidth="1"/>
    <col min="5" max="5" width="17.7109375" style="1" customWidth="1"/>
  </cols>
  <sheetData>
    <row r="2" spans="2:13" ht="23.25" x14ac:dyDescent="0.35">
      <c r="B2" s="186"/>
      <c r="C2" s="206" t="s">
        <v>124</v>
      </c>
      <c r="D2" s="97"/>
      <c r="E2" s="97"/>
      <c r="F2" s="4"/>
      <c r="G2" s="4"/>
      <c r="H2" s="4"/>
      <c r="I2" s="4"/>
      <c r="J2" s="4"/>
      <c r="K2" s="4"/>
      <c r="L2" s="4"/>
      <c r="M2" s="4"/>
    </row>
    <row r="3" spans="2:13" ht="15" x14ac:dyDescent="0.2">
      <c r="B3" s="4"/>
      <c r="C3" s="97"/>
      <c r="D3" s="97"/>
      <c r="E3" s="97"/>
      <c r="F3" s="4"/>
      <c r="G3" s="4"/>
      <c r="H3" s="4"/>
      <c r="I3" s="4"/>
      <c r="J3" s="4"/>
      <c r="K3" s="4"/>
      <c r="L3" s="4"/>
      <c r="M3" s="4"/>
    </row>
    <row r="4" spans="2:13" ht="18" x14ac:dyDescent="0.25">
      <c r="B4" s="183" t="s">
        <v>21</v>
      </c>
      <c r="C4" s="187" t="s">
        <v>107</v>
      </c>
      <c r="D4" s="188" t="s">
        <v>125</v>
      </c>
      <c r="E4" s="184" t="s">
        <v>79</v>
      </c>
      <c r="F4" s="4"/>
      <c r="G4" s="4"/>
      <c r="H4" s="4"/>
      <c r="I4" s="4"/>
      <c r="J4" s="4"/>
      <c r="K4" s="4"/>
      <c r="L4" s="4"/>
      <c r="M4" s="4"/>
    </row>
    <row r="5" spans="2:13" ht="15" x14ac:dyDescent="0.2">
      <c r="B5" s="182" t="s">
        <v>127</v>
      </c>
      <c r="C5" s="533">
        <f>+'Tax Calculation'!E18</f>
        <v>240736.34306072872</v>
      </c>
      <c r="D5" s="533">
        <f>+'Tax Calculation'!E11</f>
        <v>1570436.5291375369</v>
      </c>
      <c r="E5" s="211">
        <f>+D5-C5</f>
        <v>1329700.1860768083</v>
      </c>
      <c r="F5" s="4"/>
      <c r="G5" s="4"/>
      <c r="H5" s="4"/>
      <c r="I5" s="4"/>
      <c r="J5" s="4"/>
      <c r="K5" s="4"/>
      <c r="L5" s="4"/>
      <c r="M5" s="4"/>
    </row>
    <row r="6" spans="2:13" ht="15" x14ac:dyDescent="0.2">
      <c r="B6" s="4" t="s">
        <v>126</v>
      </c>
      <c r="C6" s="534">
        <f>+'Vehicle Tax'!E18</f>
        <v>10249.365200000002</v>
      </c>
      <c r="D6" s="534">
        <f>+'Vehicle Tax'!E10</f>
        <v>70594.469599999997</v>
      </c>
      <c r="E6" s="201">
        <f>+D6-C6</f>
        <v>60345.104399999997</v>
      </c>
      <c r="F6" s="4"/>
      <c r="G6" s="4"/>
      <c r="H6" s="4"/>
      <c r="I6" s="4"/>
      <c r="J6" s="4"/>
      <c r="K6" s="4"/>
      <c r="L6" s="4"/>
      <c r="M6" s="4"/>
    </row>
    <row r="7" spans="2:13" ht="15" x14ac:dyDescent="0.2">
      <c r="B7" s="4" t="s">
        <v>103</v>
      </c>
      <c r="C7" s="534">
        <v>0</v>
      </c>
      <c r="D7" s="534">
        <f>+'Sales Tax'!G5</f>
        <v>651979.04606083897</v>
      </c>
      <c r="E7" s="201">
        <f>+D7-C7</f>
        <v>651979.04606083897</v>
      </c>
      <c r="F7" s="4"/>
      <c r="G7" s="4"/>
      <c r="H7" s="4"/>
      <c r="I7" s="4"/>
      <c r="J7" s="4"/>
      <c r="K7" s="4"/>
      <c r="L7" s="4"/>
      <c r="M7" s="4"/>
    </row>
    <row r="8" spans="2:13" ht="15" x14ac:dyDescent="0.2">
      <c r="B8" s="4" t="s">
        <v>135</v>
      </c>
      <c r="C8" s="534">
        <f>+Stormwater!C7</f>
        <v>8192.25</v>
      </c>
      <c r="D8" s="534">
        <f>+Stormwater!C5</f>
        <v>30764.25</v>
      </c>
      <c r="E8" s="201">
        <f>+D8-C8</f>
        <v>22572</v>
      </c>
      <c r="F8" s="4"/>
      <c r="G8" s="4"/>
      <c r="H8" s="4"/>
      <c r="I8" s="4"/>
      <c r="J8" s="4"/>
      <c r="K8" s="4"/>
      <c r="L8" s="4"/>
      <c r="M8" s="4"/>
    </row>
    <row r="9" spans="2:13" ht="15" x14ac:dyDescent="0.2">
      <c r="B9" s="4" t="s">
        <v>128</v>
      </c>
      <c r="C9" s="534">
        <f>+'Permit Revenue_Cost'!D6</f>
        <v>269285</v>
      </c>
      <c r="D9" s="534">
        <f>+'Permit Revenue_Cost'!D4</f>
        <v>1093750</v>
      </c>
      <c r="E9" s="201">
        <f>+D9-C9</f>
        <v>824465</v>
      </c>
      <c r="F9" s="4"/>
      <c r="G9" s="4"/>
      <c r="H9" s="4"/>
      <c r="I9" s="4"/>
      <c r="J9" s="4"/>
      <c r="K9" s="4"/>
      <c r="L9" s="4"/>
      <c r="M9" s="4"/>
    </row>
    <row r="10" spans="2:13" ht="15.75" x14ac:dyDescent="0.25">
      <c r="B10" s="66" t="s">
        <v>131</v>
      </c>
      <c r="C10" s="202">
        <f t="shared" ref="C10:D10" si="0">SUM(C5:C8)</f>
        <v>259177.95826072872</v>
      </c>
      <c r="D10" s="202">
        <f t="shared" si="0"/>
        <v>2323774.294798376</v>
      </c>
      <c r="E10" s="203">
        <f>SUM(E5:E8)</f>
        <v>2064596.3365376473</v>
      </c>
      <c r="F10" s="4"/>
      <c r="G10" s="4"/>
      <c r="H10" s="4"/>
      <c r="I10" s="4"/>
      <c r="J10" s="4"/>
      <c r="K10" s="4"/>
      <c r="L10" s="4"/>
      <c r="M10" s="4"/>
    </row>
    <row r="11" spans="2:13" ht="15" x14ac:dyDescent="0.2">
      <c r="B11" s="439" t="s">
        <v>132</v>
      </c>
      <c r="C11" s="440">
        <f>+C9</f>
        <v>269285</v>
      </c>
      <c r="D11" s="440">
        <f>+D9</f>
        <v>1093750</v>
      </c>
      <c r="E11" s="441">
        <f>+E9</f>
        <v>824465</v>
      </c>
      <c r="F11" s="4"/>
      <c r="G11" s="4"/>
      <c r="H11" s="4"/>
      <c r="I11" s="4"/>
      <c r="J11" s="4"/>
      <c r="K11" s="4"/>
      <c r="L11" s="4"/>
      <c r="M11" s="4"/>
    </row>
    <row r="12" spans="2:13" ht="35.450000000000003" customHeight="1" x14ac:dyDescent="0.2">
      <c r="B12" s="4"/>
      <c r="C12" s="201"/>
      <c r="D12" s="201"/>
      <c r="E12" s="201"/>
      <c r="F12" s="4"/>
      <c r="G12" s="4"/>
      <c r="H12" s="4"/>
      <c r="I12" s="4"/>
      <c r="J12" s="4"/>
      <c r="K12" s="4"/>
      <c r="L12" s="4"/>
      <c r="M12" s="4"/>
    </row>
    <row r="13" spans="2:13" ht="18" x14ac:dyDescent="0.25">
      <c r="B13" s="183" t="s">
        <v>22</v>
      </c>
      <c r="C13" s="204" t="s">
        <v>107</v>
      </c>
      <c r="D13" s="205" t="s">
        <v>125</v>
      </c>
      <c r="E13" s="203" t="s">
        <v>79</v>
      </c>
      <c r="F13" s="4"/>
      <c r="G13" s="4"/>
      <c r="H13" s="4"/>
      <c r="I13" s="4"/>
      <c r="J13" s="4"/>
      <c r="K13" s="4"/>
      <c r="L13" s="4"/>
      <c r="M13" s="4"/>
    </row>
    <row r="14" spans="2:13" ht="15" x14ac:dyDescent="0.2">
      <c r="B14" s="182" t="s">
        <v>127</v>
      </c>
      <c r="C14" s="533">
        <f>+'Tax Calculation'!F18</f>
        <v>338716.63876923069</v>
      </c>
      <c r="D14" s="533">
        <f>+'Tax Calculation'!F11</f>
        <v>2556575.3460805481</v>
      </c>
      <c r="E14" s="211">
        <f>+D14-C14</f>
        <v>2217858.7073113173</v>
      </c>
      <c r="F14" s="4"/>
      <c r="G14" s="4"/>
      <c r="H14" s="4"/>
      <c r="I14" s="4"/>
      <c r="J14" s="4"/>
      <c r="K14" s="4"/>
      <c r="L14" s="4"/>
      <c r="M14" s="4"/>
    </row>
    <row r="15" spans="2:13" ht="15" x14ac:dyDescent="0.2">
      <c r="B15" s="4" t="s">
        <v>119</v>
      </c>
      <c r="C15" s="534">
        <f>+'Vehicle Tax'!F18</f>
        <v>10871.292700000002</v>
      </c>
      <c r="D15" s="534">
        <f>+'Vehicle Tax'!F10</f>
        <v>74878.114600000001</v>
      </c>
      <c r="E15" s="201">
        <f t="shared" ref="E15:E16" si="1">+D15-C15</f>
        <v>64006.821899999995</v>
      </c>
      <c r="F15" s="4"/>
      <c r="G15" s="4"/>
      <c r="H15" s="4"/>
      <c r="I15" s="4"/>
      <c r="J15" s="4"/>
      <c r="K15" s="4"/>
      <c r="L15" s="4"/>
      <c r="M15" s="4"/>
    </row>
    <row r="16" spans="2:13" ht="15" x14ac:dyDescent="0.2">
      <c r="B16" s="4" t="s">
        <v>103</v>
      </c>
      <c r="C16" s="534">
        <v>0</v>
      </c>
      <c r="D16" s="534">
        <f>+'Sales Tax'!I5</f>
        <v>0</v>
      </c>
      <c r="E16" s="201">
        <f t="shared" si="1"/>
        <v>0</v>
      </c>
      <c r="F16" s="4"/>
      <c r="G16" s="4"/>
      <c r="H16" s="4"/>
      <c r="I16" s="4"/>
      <c r="J16" s="4"/>
      <c r="K16" s="4"/>
      <c r="L16" s="4"/>
      <c r="M16" s="4"/>
    </row>
    <row r="17" spans="2:13" ht="15.75" x14ac:dyDescent="0.25">
      <c r="B17" s="66" t="s">
        <v>131</v>
      </c>
      <c r="C17" s="209">
        <f>SUM(C14:C16)</f>
        <v>349587.93146923068</v>
      </c>
      <c r="D17" s="209">
        <f t="shared" ref="D17:E17" si="2">SUM(D14:D16)</f>
        <v>2631453.4606805481</v>
      </c>
      <c r="E17" s="210">
        <f t="shared" si="2"/>
        <v>2281865.5292113172</v>
      </c>
      <c r="F17" s="4"/>
      <c r="G17" s="4"/>
      <c r="H17" s="4"/>
      <c r="I17" s="4"/>
      <c r="J17" s="4"/>
      <c r="K17" s="4"/>
      <c r="L17" s="4"/>
      <c r="M17" s="4"/>
    </row>
    <row r="18" spans="2:13" ht="36" customHeight="1" x14ac:dyDescent="0.2">
      <c r="B18" s="4"/>
      <c r="C18" s="201"/>
      <c r="D18" s="201"/>
      <c r="E18" s="201"/>
      <c r="F18" s="4"/>
      <c r="G18" s="4"/>
      <c r="H18" s="4"/>
      <c r="I18" s="4"/>
      <c r="J18" s="4"/>
      <c r="K18" s="4"/>
      <c r="L18" s="4"/>
      <c r="M18" s="4"/>
    </row>
    <row r="19" spans="2:13" ht="18" x14ac:dyDescent="0.25">
      <c r="B19" s="183" t="s">
        <v>108</v>
      </c>
      <c r="C19" s="204" t="s">
        <v>107</v>
      </c>
      <c r="D19" s="205" t="s">
        <v>125</v>
      </c>
      <c r="E19" s="203" t="s">
        <v>79</v>
      </c>
      <c r="F19" s="4"/>
      <c r="G19" s="4"/>
      <c r="H19" s="4"/>
      <c r="I19" s="4"/>
      <c r="J19" s="4"/>
      <c r="K19" s="4"/>
      <c r="L19" s="4"/>
      <c r="M19" s="4"/>
    </row>
    <row r="20" spans="2:13" ht="15" x14ac:dyDescent="0.2">
      <c r="B20" s="182" t="s">
        <v>127</v>
      </c>
      <c r="C20" s="533">
        <f>+'Tax Calculation'!G18</f>
        <v>81545.232621862335</v>
      </c>
      <c r="D20" s="533">
        <f>+'Tax Calculation'!G11</f>
        <v>610380.19212263869</v>
      </c>
      <c r="E20" s="533">
        <f>+D20-C20</f>
        <v>528834.95950077637</v>
      </c>
      <c r="F20" s="4"/>
      <c r="G20" s="4"/>
      <c r="H20" s="4"/>
      <c r="I20" s="4"/>
      <c r="J20" s="4"/>
      <c r="K20" s="4"/>
      <c r="L20" s="4"/>
      <c r="M20" s="4"/>
    </row>
    <row r="21" spans="2:13" ht="15" x14ac:dyDescent="0.2">
      <c r="B21" s="4" t="s">
        <v>119</v>
      </c>
      <c r="C21" s="534">
        <f>+'Vehicle Tax'!G18</f>
        <v>2592.1938200000004</v>
      </c>
      <c r="D21" s="534">
        <f>+'Vehicle Tax'!G10</f>
        <v>17854.232359999998</v>
      </c>
      <c r="E21" s="534">
        <f t="shared" ref="E21:E22" si="3">+D21-C21</f>
        <v>15262.038539999998</v>
      </c>
      <c r="F21" s="4"/>
      <c r="G21" s="4"/>
      <c r="H21" s="4"/>
      <c r="I21" s="4"/>
      <c r="J21" s="4"/>
      <c r="K21" s="4"/>
      <c r="L21" s="4"/>
      <c r="M21" s="4"/>
    </row>
    <row r="22" spans="2:13" ht="15" x14ac:dyDescent="0.2">
      <c r="B22" s="4" t="s">
        <v>130</v>
      </c>
      <c r="C22" s="534">
        <f>+Schools!E8</f>
        <v>902417</v>
      </c>
      <c r="D22" s="534">
        <f>+Schools!E5</f>
        <v>865478</v>
      </c>
      <c r="E22" s="534">
        <f t="shared" si="3"/>
        <v>-36939</v>
      </c>
      <c r="F22" s="4"/>
      <c r="G22" s="4"/>
      <c r="H22" s="4"/>
      <c r="I22" s="4"/>
      <c r="J22" s="4"/>
      <c r="K22" s="4"/>
      <c r="L22" s="4"/>
      <c r="M22" s="4"/>
    </row>
    <row r="23" spans="2:13" ht="15.75" x14ac:dyDescent="0.25">
      <c r="B23" s="66" t="s">
        <v>131</v>
      </c>
      <c r="C23" s="202">
        <f>+C21+C20</f>
        <v>84137.426441862335</v>
      </c>
      <c r="D23" s="202">
        <f>+D20+D21</f>
        <v>628234.42448263871</v>
      </c>
      <c r="E23" s="203">
        <f>+E21+E20</f>
        <v>544096.99804077635</v>
      </c>
      <c r="F23" s="4"/>
      <c r="G23" s="4"/>
      <c r="H23" s="4"/>
      <c r="I23" s="4"/>
      <c r="J23" s="4"/>
      <c r="K23" s="4"/>
      <c r="L23" s="4"/>
      <c r="M23" s="4"/>
    </row>
    <row r="24" spans="2:13" ht="15" x14ac:dyDescent="0.2">
      <c r="B24" s="442" t="s">
        <v>132</v>
      </c>
      <c r="C24" s="443">
        <f>+C22</f>
        <v>902417</v>
      </c>
      <c r="D24" s="443">
        <f>+D22</f>
        <v>865478</v>
      </c>
      <c r="E24" s="444">
        <f>+E22</f>
        <v>-36939</v>
      </c>
      <c r="F24" s="4"/>
      <c r="G24" s="4"/>
      <c r="H24" s="4"/>
      <c r="I24" s="4"/>
      <c r="J24" s="4"/>
      <c r="K24" s="4"/>
      <c r="L24" s="4"/>
      <c r="M24" s="4"/>
    </row>
    <row r="25" spans="2:13" ht="15" x14ac:dyDescent="0.2">
      <c r="B25" s="4"/>
      <c r="C25" s="97"/>
      <c r="D25" s="97"/>
      <c r="E25" s="97"/>
      <c r="F25" s="4"/>
      <c r="G25" s="4"/>
      <c r="H25" s="4"/>
      <c r="I25" s="4"/>
      <c r="J25" s="4"/>
      <c r="K25" s="4"/>
      <c r="L25" s="4"/>
      <c r="M25" s="4"/>
    </row>
    <row r="26" spans="2:13" ht="15" x14ac:dyDescent="0.2">
      <c r="C26" s="97"/>
      <c r="D26" s="97"/>
      <c r="E26" s="97"/>
      <c r="F26" s="4"/>
      <c r="G26" s="4"/>
      <c r="H26" s="4"/>
      <c r="I26" s="4"/>
      <c r="J26" s="4"/>
      <c r="K26" s="4"/>
      <c r="L26" s="4"/>
      <c r="M26" s="4"/>
    </row>
    <row r="27" spans="2:13" ht="15.75" x14ac:dyDescent="0.25">
      <c r="B27" s="3" t="s">
        <v>138</v>
      </c>
      <c r="C27" s="97"/>
      <c r="D27" s="97"/>
      <c r="E27" s="97"/>
      <c r="F27" s="4"/>
      <c r="G27" s="4"/>
      <c r="H27" s="4"/>
      <c r="I27" s="4"/>
      <c r="J27" s="4"/>
      <c r="K27" s="4"/>
      <c r="L27" s="4"/>
      <c r="M27" s="4"/>
    </row>
    <row r="28" spans="2:13" ht="18" x14ac:dyDescent="0.25">
      <c r="B28" s="183"/>
      <c r="C28" s="204" t="s">
        <v>107</v>
      </c>
      <c r="D28" s="205" t="s">
        <v>125</v>
      </c>
      <c r="E28" s="203" t="s">
        <v>79</v>
      </c>
      <c r="F28" s="4"/>
      <c r="G28" s="4"/>
      <c r="H28" s="4"/>
      <c r="I28" s="4"/>
      <c r="J28" s="4"/>
      <c r="K28" s="4"/>
      <c r="L28" s="4"/>
      <c r="M28" s="4"/>
    </row>
    <row r="29" spans="2:13" ht="15.75" x14ac:dyDescent="0.25">
      <c r="B29" s="66" t="s">
        <v>131</v>
      </c>
      <c r="C29" s="209">
        <f>+C23+C17+C10</f>
        <v>692903.31617182179</v>
      </c>
      <c r="D29" s="209">
        <f t="shared" ref="D29:E29" si="4">+D23+D17+D10</f>
        <v>5583462.1799615631</v>
      </c>
      <c r="E29" s="210">
        <f t="shared" si="4"/>
        <v>4890558.8637897409</v>
      </c>
      <c r="F29" s="4"/>
      <c r="G29" s="4"/>
      <c r="H29" s="4"/>
      <c r="I29" s="4"/>
      <c r="J29" s="4"/>
      <c r="K29" s="4"/>
      <c r="L29" s="4"/>
      <c r="M29" s="4"/>
    </row>
    <row r="30" spans="2:13" ht="15" x14ac:dyDescent="0.2">
      <c r="B30" s="185" t="s">
        <v>132</v>
      </c>
      <c r="C30" s="212">
        <f>+C24+C11</f>
        <v>1171702</v>
      </c>
      <c r="D30" s="212">
        <f t="shared" ref="D30:E30" si="5">+D24+D11</f>
        <v>1959228</v>
      </c>
      <c r="E30" s="213">
        <f t="shared" si="5"/>
        <v>787526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M50"/>
  <sheetViews>
    <sheetView showGridLines="0" topLeftCell="A31" workbookViewId="0">
      <selection activeCell="H33" sqref="H33"/>
    </sheetView>
  </sheetViews>
  <sheetFormatPr defaultRowHeight="12.75" x14ac:dyDescent="0.2"/>
  <cols>
    <col min="2" max="2" width="32.7109375" customWidth="1"/>
    <col min="3" max="3" width="21.5703125" style="1" customWidth="1"/>
    <col min="4" max="4" width="20" style="1" customWidth="1"/>
    <col min="5" max="5" width="17.7109375" style="1" customWidth="1"/>
  </cols>
  <sheetData>
    <row r="2" spans="1:13" ht="18" x14ac:dyDescent="0.25">
      <c r="A2" s="324"/>
      <c r="B2" s="336"/>
      <c r="C2" s="325" t="s">
        <v>225</v>
      </c>
      <c r="D2" s="326"/>
      <c r="E2" s="326"/>
      <c r="F2" s="324"/>
      <c r="G2" s="324"/>
      <c r="H2" s="324"/>
      <c r="I2" s="324"/>
      <c r="J2" s="324"/>
      <c r="K2" s="324"/>
      <c r="L2" s="4"/>
      <c r="M2" s="4"/>
    </row>
    <row r="3" spans="1:13" ht="6.6" customHeight="1" thickBot="1" x14ac:dyDescent="0.3">
      <c r="A3" s="324"/>
      <c r="B3" s="324"/>
      <c r="C3" s="325"/>
      <c r="D3" s="326"/>
      <c r="E3" s="326"/>
      <c r="F3" s="324"/>
      <c r="G3" s="324"/>
      <c r="H3" s="324"/>
      <c r="I3" s="324"/>
      <c r="J3" s="324"/>
      <c r="K3" s="324"/>
      <c r="L3" s="4"/>
      <c r="M3" s="4"/>
    </row>
    <row r="4" spans="1:13" ht="13.15" customHeight="1" x14ac:dyDescent="0.2">
      <c r="B4" s="331"/>
      <c r="C4" s="327"/>
      <c r="D4" s="327"/>
      <c r="E4" s="328"/>
      <c r="F4" s="4"/>
      <c r="G4" s="4"/>
      <c r="H4" s="4"/>
      <c r="I4" s="4"/>
      <c r="J4" s="4"/>
      <c r="K4" s="4"/>
      <c r="L4" s="4"/>
      <c r="M4" s="4"/>
    </row>
    <row r="5" spans="1:13" ht="18.75" thickBot="1" x14ac:dyDescent="0.3">
      <c r="B5" s="332" t="s">
        <v>107</v>
      </c>
      <c r="C5" s="329" t="s">
        <v>222</v>
      </c>
      <c r="D5" s="329" t="s">
        <v>224</v>
      </c>
      <c r="E5" s="330" t="s">
        <v>79</v>
      </c>
      <c r="F5" s="4"/>
      <c r="G5" s="4"/>
      <c r="H5" s="4"/>
      <c r="I5" s="4"/>
      <c r="J5" s="4"/>
      <c r="K5" s="4"/>
      <c r="L5" s="4"/>
      <c r="M5" s="4"/>
    </row>
    <row r="6" spans="1:13" ht="18" x14ac:dyDescent="0.25">
      <c r="B6" s="333" t="s">
        <v>223</v>
      </c>
      <c r="C6" s="334"/>
      <c r="D6" s="334"/>
      <c r="E6" s="334"/>
      <c r="F6" s="4"/>
      <c r="G6" s="4"/>
      <c r="H6" s="4"/>
      <c r="I6" s="4"/>
      <c r="J6" s="4"/>
      <c r="K6" s="4"/>
      <c r="L6" s="4"/>
      <c r="M6" s="4"/>
    </row>
    <row r="7" spans="1:13" ht="15" x14ac:dyDescent="0.2">
      <c r="B7" s="182" t="s">
        <v>127</v>
      </c>
      <c r="C7" s="533">
        <f>+'Tax Calculation'!E18</f>
        <v>240736.34306072872</v>
      </c>
      <c r="D7" s="211"/>
      <c r="E7" s="211"/>
      <c r="F7" s="4"/>
      <c r="G7" s="4"/>
      <c r="H7" s="4"/>
      <c r="I7" s="4"/>
      <c r="J7" s="4"/>
      <c r="K7" s="4"/>
      <c r="L7" s="4"/>
      <c r="M7" s="4"/>
    </row>
    <row r="8" spans="1:13" ht="15" x14ac:dyDescent="0.2">
      <c r="B8" s="4" t="s">
        <v>126</v>
      </c>
      <c r="C8" s="534">
        <f>+'Vehicle Tax'!E18</f>
        <v>10249.365200000002</v>
      </c>
      <c r="D8" s="201"/>
      <c r="E8" s="201"/>
      <c r="F8" s="4"/>
      <c r="G8" s="4"/>
      <c r="H8" s="4"/>
      <c r="I8" s="4"/>
      <c r="J8" s="4"/>
      <c r="K8" s="4"/>
      <c r="L8" s="4"/>
      <c r="M8" s="4"/>
    </row>
    <row r="9" spans="1:13" ht="15" x14ac:dyDescent="0.2">
      <c r="B9" s="4" t="s">
        <v>103</v>
      </c>
      <c r="C9" s="534">
        <v>0</v>
      </c>
      <c r="D9" s="201"/>
      <c r="E9" s="201"/>
      <c r="F9" s="4"/>
      <c r="G9" s="4"/>
      <c r="H9" s="4"/>
      <c r="I9" s="4"/>
      <c r="J9" s="4"/>
      <c r="K9" s="4"/>
      <c r="L9" s="4"/>
      <c r="M9" s="4"/>
    </row>
    <row r="10" spans="1:13" ht="15" x14ac:dyDescent="0.2">
      <c r="B10" s="4" t="s">
        <v>135</v>
      </c>
      <c r="C10" s="534">
        <f>+Stormwater!C7</f>
        <v>8192.25</v>
      </c>
      <c r="D10" s="201"/>
      <c r="E10" s="201"/>
      <c r="F10" s="4"/>
      <c r="G10" s="4"/>
      <c r="H10" s="4"/>
      <c r="I10" s="4"/>
      <c r="J10" s="4"/>
      <c r="K10" s="4"/>
      <c r="L10" s="4"/>
      <c r="M10" s="4"/>
    </row>
    <row r="11" spans="1:13" ht="15" x14ac:dyDescent="0.2">
      <c r="B11" s="4" t="s">
        <v>229</v>
      </c>
      <c r="C11" s="546">
        <f>+'Permit Revenue_Cost'!D6</f>
        <v>269285</v>
      </c>
      <c r="D11" s="201"/>
      <c r="E11" s="201"/>
      <c r="F11" s="4"/>
      <c r="G11" s="4"/>
      <c r="H11" s="4"/>
      <c r="I11" s="4"/>
      <c r="J11" s="4"/>
      <c r="K11" s="4"/>
      <c r="L11" s="4"/>
      <c r="M11" s="4"/>
    </row>
    <row r="12" spans="1:13" ht="18" x14ac:dyDescent="0.2">
      <c r="B12" s="333" t="s">
        <v>224</v>
      </c>
      <c r="C12" s="201"/>
      <c r="D12" s="201"/>
      <c r="E12" s="201"/>
      <c r="F12" s="4"/>
      <c r="G12" s="4"/>
      <c r="H12" s="4"/>
      <c r="I12" s="4"/>
      <c r="J12" s="4"/>
      <c r="K12" s="4"/>
      <c r="L12" s="4"/>
      <c r="M12" s="4"/>
    </row>
    <row r="13" spans="1:13" ht="15" x14ac:dyDescent="0.2">
      <c r="B13" s="335" t="s">
        <v>5</v>
      </c>
      <c r="C13" s="201"/>
      <c r="D13" s="534">
        <f>+'Departmental Costs'!E10</f>
        <v>42200</v>
      </c>
      <c r="E13" s="201"/>
      <c r="F13" s="4"/>
      <c r="G13" s="4"/>
      <c r="H13" s="4"/>
      <c r="I13" s="4"/>
      <c r="J13" s="4"/>
      <c r="K13" s="4"/>
      <c r="L13" s="4"/>
      <c r="M13" s="4"/>
    </row>
    <row r="14" spans="1:13" ht="15" x14ac:dyDescent="0.2">
      <c r="B14" s="335" t="s">
        <v>228</v>
      </c>
      <c r="C14" s="201"/>
      <c r="D14" s="546">
        <v>6500</v>
      </c>
      <c r="E14" s="201"/>
      <c r="F14" s="4"/>
      <c r="G14" s="4"/>
      <c r="H14" s="4"/>
      <c r="I14" s="4"/>
      <c r="J14" s="4"/>
      <c r="K14" s="4"/>
      <c r="L14" s="4"/>
      <c r="M14" s="4"/>
    </row>
    <row r="15" spans="1:13" ht="15" x14ac:dyDescent="0.2">
      <c r="B15" s="335" t="s">
        <v>4</v>
      </c>
      <c r="C15" s="201"/>
      <c r="D15" s="534">
        <f>+'Departmental Costs'!E13</f>
        <v>19726.4264</v>
      </c>
      <c r="E15" s="201"/>
      <c r="F15" s="4"/>
      <c r="G15" s="4"/>
      <c r="H15" s="4"/>
      <c r="I15" s="4"/>
      <c r="J15" s="4"/>
      <c r="K15" s="4"/>
      <c r="L15" s="4"/>
      <c r="M15" s="4"/>
    </row>
    <row r="16" spans="1:13" ht="15" x14ac:dyDescent="0.2">
      <c r="B16" s="335" t="s">
        <v>192</v>
      </c>
      <c r="C16" s="201"/>
      <c r="D16" s="534">
        <f>+'Departmental Costs'!E14</f>
        <v>8410.2254008298751</v>
      </c>
      <c r="E16" s="201"/>
      <c r="F16" s="4"/>
      <c r="G16" s="4"/>
      <c r="H16" s="4"/>
      <c r="I16" s="4"/>
      <c r="J16" s="4"/>
      <c r="K16" s="4"/>
      <c r="L16" s="4"/>
      <c r="M16" s="4"/>
    </row>
    <row r="17" spans="2:13" ht="15" x14ac:dyDescent="0.2">
      <c r="B17" s="219" t="s">
        <v>193</v>
      </c>
      <c r="C17" s="201"/>
      <c r="D17" s="534">
        <f>+'Departmental Costs'!E15</f>
        <v>36602.754000000001</v>
      </c>
      <c r="E17" s="201"/>
      <c r="F17" s="4"/>
      <c r="G17" s="4"/>
      <c r="H17" s="4"/>
      <c r="I17" s="4"/>
      <c r="J17" s="4"/>
      <c r="K17" s="4"/>
      <c r="L17" s="4"/>
      <c r="M17" s="4"/>
    </row>
    <row r="18" spans="2:13" ht="15" x14ac:dyDescent="0.2">
      <c r="B18" s="219" t="s">
        <v>194</v>
      </c>
      <c r="C18" s="201"/>
      <c r="D18" s="534">
        <f>+'Departmental Costs'!E16</f>
        <v>66089.883200000011</v>
      </c>
      <c r="E18" s="201"/>
      <c r="F18" s="4"/>
      <c r="G18" s="4"/>
      <c r="H18" s="4"/>
      <c r="I18" s="4"/>
      <c r="J18" s="4"/>
      <c r="K18" s="4"/>
      <c r="L18" s="4"/>
      <c r="M18" s="4"/>
    </row>
    <row r="19" spans="2:13" ht="15" x14ac:dyDescent="0.2">
      <c r="B19" s="219" t="s">
        <v>7</v>
      </c>
      <c r="C19" s="201"/>
      <c r="D19" s="534">
        <f>+'Departmental Costs'!E17</f>
        <v>24064.811653238867</v>
      </c>
      <c r="E19" s="201"/>
      <c r="F19" s="4"/>
      <c r="G19" s="4"/>
      <c r="H19" s="4"/>
      <c r="I19" s="4"/>
      <c r="J19" s="4"/>
      <c r="K19" s="4"/>
      <c r="L19" s="4"/>
      <c r="M19" s="4"/>
    </row>
    <row r="20" spans="2:13" ht="15" x14ac:dyDescent="0.2">
      <c r="B20" s="219" t="s">
        <v>197</v>
      </c>
      <c r="C20" s="201"/>
      <c r="D20" s="534">
        <f>+'Departmental Costs'!E18</f>
        <v>0</v>
      </c>
      <c r="E20" s="201"/>
      <c r="F20" s="4"/>
      <c r="G20" s="4"/>
      <c r="H20" s="4"/>
      <c r="I20" s="4"/>
      <c r="J20" s="4"/>
      <c r="K20" s="4"/>
      <c r="L20" s="4"/>
      <c r="M20" s="4"/>
    </row>
    <row r="21" spans="2:13" ht="15" x14ac:dyDescent="0.2">
      <c r="B21" s="219" t="s">
        <v>149</v>
      </c>
      <c r="C21" s="201"/>
      <c r="D21" s="534">
        <f>+'Departmental Costs'!E19</f>
        <v>25622.23308502894</v>
      </c>
      <c r="E21" s="201"/>
      <c r="F21" s="4"/>
      <c r="G21" s="4"/>
      <c r="H21" s="4"/>
      <c r="I21" s="4"/>
      <c r="J21" s="4"/>
      <c r="K21" s="4"/>
      <c r="L21" s="4"/>
      <c r="M21" s="4"/>
    </row>
    <row r="22" spans="2:13" ht="15" x14ac:dyDescent="0.2">
      <c r="B22" s="219" t="s">
        <v>219</v>
      </c>
      <c r="C22" s="201"/>
      <c r="D22" s="534">
        <f>+'Departmental Costs'!E20</f>
        <v>25622.23308502894</v>
      </c>
      <c r="E22" s="201"/>
      <c r="F22" s="4"/>
      <c r="G22" s="4"/>
      <c r="H22" s="4"/>
      <c r="I22" s="4"/>
      <c r="J22" s="4"/>
      <c r="K22" s="4"/>
      <c r="L22" s="4"/>
      <c r="M22" s="4"/>
    </row>
    <row r="23" spans="2:13" ht="15.75" x14ac:dyDescent="0.25">
      <c r="B23" s="66" t="s">
        <v>226</v>
      </c>
      <c r="C23" s="209">
        <f>SUM(C7:C10)</f>
        <v>259177.95826072872</v>
      </c>
      <c r="D23" s="209">
        <f>SUM(D7:D22)-D14</f>
        <v>248338.56682412664</v>
      </c>
      <c r="E23" s="210">
        <f>+C23-D23</f>
        <v>10839.391436602076</v>
      </c>
      <c r="F23" s="4"/>
      <c r="G23" s="4"/>
      <c r="H23" s="4"/>
      <c r="I23" s="4"/>
      <c r="J23" s="4"/>
      <c r="K23" s="4"/>
      <c r="L23" s="4"/>
      <c r="M23" s="4"/>
    </row>
    <row r="24" spans="2:13" ht="7.9" customHeight="1" x14ac:dyDescent="0.2">
      <c r="B24" s="4"/>
      <c r="C24" s="201"/>
      <c r="D24" s="201"/>
      <c r="E24" s="201"/>
      <c r="F24" s="4"/>
      <c r="G24" s="4"/>
      <c r="H24" s="4"/>
      <c r="I24" s="4"/>
      <c r="J24" s="4"/>
      <c r="K24" s="4"/>
      <c r="L24" s="4"/>
      <c r="M24" s="4"/>
    </row>
    <row r="25" spans="2:13" ht="15.75" x14ac:dyDescent="0.25">
      <c r="B25" s="343" t="s">
        <v>227</v>
      </c>
      <c r="C25" s="344">
        <f>+C11</f>
        <v>269285</v>
      </c>
      <c r="D25" s="344">
        <f>+D14</f>
        <v>6500</v>
      </c>
      <c r="E25" s="345">
        <f>+C25-D25</f>
        <v>262785</v>
      </c>
      <c r="F25" s="4"/>
      <c r="G25" s="4"/>
      <c r="H25" s="4"/>
      <c r="I25" s="4"/>
      <c r="J25" s="4"/>
      <c r="K25" s="4"/>
      <c r="L25" s="4"/>
      <c r="M25" s="4"/>
    </row>
    <row r="26" spans="2:13" ht="15.75" thickBot="1" x14ac:dyDescent="0.25">
      <c r="B26" s="4"/>
      <c r="C26" s="201"/>
      <c r="D26" s="201"/>
      <c r="E26" s="201"/>
      <c r="F26" s="4"/>
      <c r="G26" s="4"/>
      <c r="H26" s="4"/>
      <c r="I26" s="4"/>
      <c r="J26" s="4"/>
      <c r="K26" s="4"/>
      <c r="L26" s="4"/>
      <c r="M26" s="4"/>
    </row>
    <row r="27" spans="2:13" ht="9" customHeight="1" x14ac:dyDescent="0.2">
      <c r="B27" s="337"/>
      <c r="C27" s="338"/>
      <c r="D27" s="338"/>
      <c r="E27" s="339"/>
      <c r="F27" s="4"/>
      <c r="G27" s="4"/>
      <c r="H27" s="4"/>
      <c r="I27" s="4"/>
      <c r="J27" s="4"/>
      <c r="K27" s="4"/>
      <c r="L27" s="4"/>
      <c r="M27" s="4"/>
    </row>
    <row r="28" spans="2:13" ht="18.75" thickBot="1" x14ac:dyDescent="0.3">
      <c r="B28" s="340" t="s">
        <v>142</v>
      </c>
      <c r="C28" s="341" t="s">
        <v>222</v>
      </c>
      <c r="D28" s="341" t="s">
        <v>224</v>
      </c>
      <c r="E28" s="342" t="s">
        <v>79</v>
      </c>
      <c r="F28" s="4"/>
      <c r="G28" s="4"/>
      <c r="H28" s="4"/>
      <c r="I28" s="4"/>
      <c r="J28" s="4"/>
      <c r="K28" s="4"/>
      <c r="L28" s="4"/>
      <c r="M28" s="4"/>
    </row>
    <row r="29" spans="2:13" ht="18" x14ac:dyDescent="0.25">
      <c r="B29" s="333" t="s">
        <v>223</v>
      </c>
      <c r="C29" s="334"/>
      <c r="D29" s="334"/>
      <c r="E29" s="334"/>
      <c r="F29" s="4"/>
      <c r="G29" s="4"/>
      <c r="H29" s="4"/>
      <c r="I29" s="4"/>
      <c r="J29" s="4"/>
      <c r="K29" s="4"/>
      <c r="L29" s="4"/>
      <c r="M29" s="4"/>
    </row>
    <row r="30" spans="2:13" ht="15" x14ac:dyDescent="0.2">
      <c r="B30" s="182" t="s">
        <v>127</v>
      </c>
      <c r="C30" s="533">
        <f>+'Revenue SUMMARY'!D5</f>
        <v>1570436.5291375369</v>
      </c>
      <c r="D30" s="211"/>
      <c r="E30" s="211"/>
      <c r="F30" s="4"/>
      <c r="G30" s="4"/>
      <c r="H30" s="4"/>
      <c r="I30" s="4"/>
      <c r="J30" s="4"/>
      <c r="K30" s="4"/>
      <c r="L30" s="4"/>
      <c r="M30" s="4"/>
    </row>
    <row r="31" spans="2:13" ht="15" x14ac:dyDescent="0.2">
      <c r="B31" s="4" t="s">
        <v>126</v>
      </c>
      <c r="C31" s="534">
        <f>+'Revenue SUMMARY'!D6</f>
        <v>70594.469599999997</v>
      </c>
      <c r="D31" s="201"/>
      <c r="E31" s="201"/>
      <c r="F31" s="4"/>
      <c r="G31" s="4"/>
      <c r="H31" s="4"/>
      <c r="I31" s="4"/>
      <c r="J31" s="4"/>
      <c r="K31" s="4"/>
      <c r="L31" s="4"/>
      <c r="M31" s="4"/>
    </row>
    <row r="32" spans="2:13" ht="15" x14ac:dyDescent="0.2">
      <c r="B32" s="4" t="s">
        <v>103</v>
      </c>
      <c r="C32" s="534">
        <f>+'Revenue SUMMARY'!D7</f>
        <v>651979.04606083897</v>
      </c>
      <c r="D32" s="201"/>
      <c r="E32" s="201"/>
      <c r="F32" s="4"/>
      <c r="G32" s="4"/>
      <c r="H32" s="4"/>
      <c r="I32" s="4"/>
      <c r="J32" s="4"/>
      <c r="K32" s="4"/>
      <c r="L32" s="4"/>
      <c r="M32" s="4"/>
    </row>
    <row r="33" spans="2:13" ht="15" x14ac:dyDescent="0.2">
      <c r="B33" s="4" t="s">
        <v>135</v>
      </c>
      <c r="C33" s="534">
        <f>+'Revenue SUMMARY'!D8</f>
        <v>30764.25</v>
      </c>
      <c r="D33" s="201"/>
      <c r="E33" s="201"/>
      <c r="F33" s="4"/>
      <c r="G33" s="4"/>
      <c r="H33" s="4"/>
      <c r="I33" s="4"/>
      <c r="J33" s="4"/>
      <c r="K33" s="4"/>
      <c r="L33" s="4"/>
      <c r="M33" s="4"/>
    </row>
    <row r="34" spans="2:13" ht="15" x14ac:dyDescent="0.2">
      <c r="B34" s="4" t="s">
        <v>229</v>
      </c>
      <c r="C34" s="546">
        <f>+'Revenue SUMMARY'!D9</f>
        <v>1093750</v>
      </c>
      <c r="D34" s="201"/>
      <c r="E34" s="201"/>
      <c r="F34" s="4"/>
      <c r="G34" s="4"/>
      <c r="H34" s="4"/>
      <c r="I34" s="4"/>
      <c r="J34" s="4"/>
      <c r="K34" s="4"/>
      <c r="L34" s="4"/>
      <c r="M34" s="4"/>
    </row>
    <row r="35" spans="2:13" ht="18" x14ac:dyDescent="0.2">
      <c r="B35" s="333" t="s">
        <v>224</v>
      </c>
      <c r="C35" s="201"/>
      <c r="D35" s="201"/>
      <c r="E35" s="201"/>
      <c r="F35" s="4"/>
      <c r="G35" s="4"/>
      <c r="H35" s="4"/>
      <c r="I35" s="4"/>
      <c r="J35" s="4"/>
      <c r="K35" s="4"/>
      <c r="L35" s="4"/>
      <c r="M35" s="4"/>
    </row>
    <row r="36" spans="2:13" ht="15" x14ac:dyDescent="0.2">
      <c r="B36" s="335" t="s">
        <v>5</v>
      </c>
      <c r="C36" s="201"/>
      <c r="D36" s="201">
        <v>0</v>
      </c>
      <c r="E36" s="201"/>
      <c r="F36" s="4"/>
      <c r="G36" s="4"/>
      <c r="H36" s="4"/>
      <c r="I36" s="4"/>
      <c r="J36" s="4"/>
      <c r="K36" s="4"/>
      <c r="L36" s="4"/>
      <c r="M36" s="4"/>
    </row>
    <row r="37" spans="2:13" ht="15" x14ac:dyDescent="0.2">
      <c r="B37" s="335" t="s">
        <v>230</v>
      </c>
      <c r="C37" s="201"/>
      <c r="D37" s="546">
        <f>+'Departmental Costs'!F30</f>
        <v>89726.983469820771</v>
      </c>
      <c r="E37" s="201"/>
      <c r="F37" s="4"/>
      <c r="G37" s="4"/>
      <c r="H37" s="4"/>
      <c r="I37" s="4"/>
      <c r="J37" s="4"/>
      <c r="K37" s="4"/>
      <c r="L37" s="4"/>
      <c r="M37" s="4"/>
    </row>
    <row r="38" spans="2:13" ht="15" x14ac:dyDescent="0.2">
      <c r="B38" s="335" t="s">
        <v>4</v>
      </c>
      <c r="C38" s="201"/>
      <c r="D38" s="534">
        <f>+'Departmental Costs'!F13</f>
        <v>135869.5472</v>
      </c>
      <c r="E38" s="201"/>
      <c r="F38" s="4"/>
      <c r="G38" s="4"/>
      <c r="H38" s="4"/>
      <c r="I38" s="4"/>
      <c r="J38" s="4"/>
      <c r="K38" s="4"/>
      <c r="L38" s="4"/>
      <c r="M38" s="4"/>
    </row>
    <row r="39" spans="2:13" ht="15" x14ac:dyDescent="0.2">
      <c r="B39" s="335" t="s">
        <v>192</v>
      </c>
      <c r="C39" s="201"/>
      <c r="D39" s="534">
        <f>+'Departmental Costs'!F14</f>
        <v>57927.041314522823</v>
      </c>
      <c r="E39" s="201"/>
      <c r="F39" s="4"/>
      <c r="G39" s="4"/>
      <c r="H39" s="4"/>
      <c r="I39" s="4"/>
      <c r="J39" s="4"/>
      <c r="K39" s="4"/>
      <c r="L39" s="4"/>
      <c r="M39" s="4"/>
    </row>
    <row r="40" spans="2:13" ht="15" x14ac:dyDescent="0.2">
      <c r="B40" s="219" t="s">
        <v>193</v>
      </c>
      <c r="C40" s="201"/>
      <c r="D40" s="534">
        <f>+'Departmental Costs'!F15</f>
        <v>252108.492</v>
      </c>
      <c r="E40" s="201"/>
      <c r="F40" s="4"/>
      <c r="G40" s="4"/>
      <c r="H40" s="4"/>
      <c r="I40" s="4"/>
      <c r="J40" s="4"/>
      <c r="K40" s="4"/>
      <c r="L40" s="4"/>
      <c r="M40" s="4"/>
    </row>
    <row r="41" spans="2:13" ht="15" x14ac:dyDescent="0.2">
      <c r="B41" s="219" t="s">
        <v>194</v>
      </c>
      <c r="C41" s="201"/>
      <c r="D41" s="534">
        <f>+'Departmental Costs'!F16</f>
        <v>386612.74514499999</v>
      </c>
      <c r="E41" s="201"/>
      <c r="F41" s="4"/>
      <c r="G41" s="4"/>
      <c r="H41" s="4"/>
      <c r="I41" s="4"/>
      <c r="J41" s="4"/>
      <c r="K41" s="4"/>
      <c r="L41" s="4"/>
      <c r="M41" s="4"/>
    </row>
    <row r="42" spans="2:13" ht="15" x14ac:dyDescent="0.2">
      <c r="B42" s="219" t="s">
        <v>7</v>
      </c>
      <c r="C42" s="201"/>
      <c r="D42" s="534">
        <f>+'Departmental Costs'!F17</f>
        <v>157217.14802598165</v>
      </c>
      <c r="E42" s="201"/>
      <c r="F42" s="4"/>
      <c r="G42" s="4"/>
      <c r="H42" s="4"/>
      <c r="I42" s="4"/>
      <c r="J42" s="4"/>
      <c r="K42" s="4"/>
      <c r="L42" s="4"/>
      <c r="M42" s="4"/>
    </row>
    <row r="43" spans="2:13" ht="15" x14ac:dyDescent="0.2">
      <c r="B43" s="219" t="s">
        <v>197</v>
      </c>
      <c r="C43" s="201"/>
      <c r="D43" s="201">
        <f>+'Departmental Costs'!F18</f>
        <v>0</v>
      </c>
      <c r="E43" s="201"/>
      <c r="F43" s="4"/>
      <c r="G43" s="4"/>
      <c r="H43" s="4"/>
      <c r="I43" s="4"/>
      <c r="J43" s="4"/>
      <c r="K43" s="4"/>
      <c r="L43" s="4"/>
      <c r="M43" s="4"/>
    </row>
    <row r="44" spans="2:13" ht="15" x14ac:dyDescent="0.2">
      <c r="B44" s="219" t="s">
        <v>149</v>
      </c>
      <c r="C44" s="201"/>
      <c r="D44" s="534">
        <f>+'Departmental Costs'!F19</f>
        <v>128665.54657911557</v>
      </c>
      <c r="E44" s="201"/>
      <c r="F44" s="4"/>
      <c r="G44" s="4"/>
      <c r="H44" s="4"/>
      <c r="I44" s="4"/>
      <c r="J44" s="4"/>
      <c r="K44" s="4"/>
      <c r="L44" s="4"/>
      <c r="M44" s="4"/>
    </row>
    <row r="45" spans="2:13" ht="15" x14ac:dyDescent="0.2">
      <c r="B45" s="219" t="s">
        <v>219</v>
      </c>
      <c r="C45" s="201"/>
      <c r="D45" s="534">
        <f>+'Departmental Costs'!F20</f>
        <v>128665.54657911557</v>
      </c>
      <c r="E45" s="201"/>
      <c r="F45" s="4"/>
      <c r="G45" s="4"/>
      <c r="H45" s="4"/>
      <c r="I45" s="4"/>
      <c r="J45" s="4"/>
      <c r="K45" s="4"/>
      <c r="L45" s="4"/>
      <c r="M45" s="4"/>
    </row>
    <row r="46" spans="2:13" ht="15.75" x14ac:dyDescent="0.25">
      <c r="B46" s="66" t="s">
        <v>226</v>
      </c>
      <c r="C46" s="209">
        <f>SUM(C30:C33)</f>
        <v>2323774.294798376</v>
      </c>
      <c r="D46" s="209">
        <f>SUM(D30:D45)-D37</f>
        <v>1247066.0668437355</v>
      </c>
      <c r="E46" s="210">
        <f>+C46-D46</f>
        <v>1076708.2279546405</v>
      </c>
      <c r="F46" s="4"/>
      <c r="G46" s="4"/>
      <c r="H46" s="4"/>
      <c r="I46" s="4"/>
      <c r="J46" s="4"/>
      <c r="K46" s="4"/>
      <c r="L46" s="4"/>
      <c r="M46" s="4"/>
    </row>
    <row r="47" spans="2:13" ht="7.9" customHeight="1" x14ac:dyDescent="0.2">
      <c r="B47" s="4"/>
      <c r="C47" s="201"/>
      <c r="D47" s="201"/>
      <c r="E47" s="201"/>
      <c r="F47" s="4"/>
      <c r="G47" s="4"/>
      <c r="H47" s="4"/>
      <c r="I47" s="4"/>
      <c r="J47" s="4"/>
      <c r="K47" s="4"/>
      <c r="L47" s="4"/>
      <c r="M47" s="4"/>
    </row>
    <row r="48" spans="2:13" ht="15.75" x14ac:dyDescent="0.25">
      <c r="B48" s="343" t="s">
        <v>227</v>
      </c>
      <c r="C48" s="344">
        <f>+C34</f>
        <v>1093750</v>
      </c>
      <c r="D48" s="344">
        <f>+D37</f>
        <v>89726.983469820771</v>
      </c>
      <c r="E48" s="345">
        <f>+C48-D48</f>
        <v>1004023.0165301792</v>
      </c>
      <c r="F48" s="4"/>
      <c r="G48" s="4"/>
      <c r="H48" s="4"/>
      <c r="I48" s="4"/>
      <c r="J48" s="4"/>
      <c r="K48" s="4"/>
      <c r="L48" s="4"/>
      <c r="M48" s="4"/>
    </row>
    <row r="49" spans="2:13" ht="15" x14ac:dyDescent="0.2">
      <c r="B49" s="4"/>
      <c r="C49" s="201"/>
      <c r="D49" s="201"/>
      <c r="E49" s="201"/>
      <c r="F49" s="4"/>
      <c r="G49" s="4"/>
      <c r="H49" s="4"/>
      <c r="I49" s="4"/>
      <c r="J49" s="4"/>
      <c r="K49" s="4"/>
      <c r="L49" s="4"/>
      <c r="M49" s="4"/>
    </row>
    <row r="50" spans="2:13" ht="15" x14ac:dyDescent="0.2">
      <c r="B50" s="4"/>
      <c r="C50" s="201"/>
      <c r="D50" s="201"/>
      <c r="E50" s="201"/>
      <c r="F50" s="4"/>
      <c r="G50" s="4"/>
      <c r="H50" s="4"/>
      <c r="I50" s="4"/>
      <c r="J50" s="4"/>
      <c r="K50" s="4"/>
      <c r="L50" s="4"/>
      <c r="M50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56"/>
  <sheetViews>
    <sheetView topLeftCell="A29" zoomScale="110" zoomScaleNormal="110" workbookViewId="0">
      <selection activeCell="G13" sqref="G13"/>
    </sheetView>
  </sheetViews>
  <sheetFormatPr defaultColWidth="9.140625" defaultRowHeight="15.75" x14ac:dyDescent="0.25"/>
  <cols>
    <col min="1" max="1" width="25.7109375" style="222" customWidth="1"/>
    <col min="2" max="2" width="15.5703125" style="225" customWidth="1"/>
    <col min="3" max="3" width="15" style="222" customWidth="1"/>
    <col min="4" max="5" width="16.28515625" style="222" customWidth="1"/>
    <col min="6" max="6" width="15" style="222" customWidth="1"/>
    <col min="7" max="7" width="13.85546875" style="222" customWidth="1"/>
    <col min="8" max="9" width="15.5703125" style="222" customWidth="1"/>
    <col min="10" max="251" width="9.140625" style="222"/>
    <col min="252" max="252" width="23.28515625" style="222" customWidth="1"/>
    <col min="253" max="253" width="14.140625" style="222" bestFit="1" customWidth="1"/>
    <col min="254" max="254" width="14" style="222" bestFit="1" customWidth="1"/>
    <col min="255" max="255" width="14.140625" style="222" bestFit="1" customWidth="1"/>
    <col min="256" max="256" width="14" style="222" bestFit="1" customWidth="1"/>
    <col min="257" max="257" width="14.7109375" style="222" customWidth="1"/>
    <col min="258" max="258" width="11.140625" style="222" bestFit="1" customWidth="1"/>
    <col min="259" max="507" width="9.140625" style="222"/>
    <col min="508" max="508" width="23.28515625" style="222" customWidth="1"/>
    <col min="509" max="509" width="14.140625" style="222" bestFit="1" customWidth="1"/>
    <col min="510" max="510" width="14" style="222" bestFit="1" customWidth="1"/>
    <col min="511" max="511" width="14.140625" style="222" bestFit="1" customWidth="1"/>
    <col min="512" max="512" width="14" style="222" bestFit="1" customWidth="1"/>
    <col min="513" max="513" width="14.7109375" style="222" customWidth="1"/>
    <col min="514" max="514" width="11.140625" style="222" bestFit="1" customWidth="1"/>
    <col min="515" max="763" width="9.140625" style="222"/>
    <col min="764" max="764" width="23.28515625" style="222" customWidth="1"/>
    <col min="765" max="765" width="14.140625" style="222" bestFit="1" customWidth="1"/>
    <col min="766" max="766" width="14" style="222" bestFit="1" customWidth="1"/>
    <col min="767" max="767" width="14.140625" style="222" bestFit="1" customWidth="1"/>
    <col min="768" max="768" width="14" style="222" bestFit="1" customWidth="1"/>
    <col min="769" max="769" width="14.7109375" style="222" customWidth="1"/>
    <col min="770" max="770" width="11.140625" style="222" bestFit="1" customWidth="1"/>
    <col min="771" max="1019" width="9.140625" style="222"/>
    <col min="1020" max="1020" width="23.28515625" style="222" customWidth="1"/>
    <col min="1021" max="1021" width="14.140625" style="222" bestFit="1" customWidth="1"/>
    <col min="1022" max="1022" width="14" style="222" bestFit="1" customWidth="1"/>
    <col min="1023" max="1023" width="14.140625" style="222" bestFit="1" customWidth="1"/>
    <col min="1024" max="1024" width="14" style="222" bestFit="1" customWidth="1"/>
    <col min="1025" max="1025" width="14.7109375" style="222" customWidth="1"/>
    <col min="1026" max="1026" width="11.140625" style="222" bestFit="1" customWidth="1"/>
    <col min="1027" max="1275" width="9.140625" style="222"/>
    <col min="1276" max="1276" width="23.28515625" style="222" customWidth="1"/>
    <col min="1277" max="1277" width="14.140625" style="222" bestFit="1" customWidth="1"/>
    <col min="1278" max="1278" width="14" style="222" bestFit="1" customWidth="1"/>
    <col min="1279" max="1279" width="14.140625" style="222" bestFit="1" customWidth="1"/>
    <col min="1280" max="1280" width="14" style="222" bestFit="1" customWidth="1"/>
    <col min="1281" max="1281" width="14.7109375" style="222" customWidth="1"/>
    <col min="1282" max="1282" width="11.140625" style="222" bestFit="1" customWidth="1"/>
    <col min="1283" max="1531" width="9.140625" style="222"/>
    <col min="1532" max="1532" width="23.28515625" style="222" customWidth="1"/>
    <col min="1533" max="1533" width="14.140625" style="222" bestFit="1" customWidth="1"/>
    <col min="1534" max="1534" width="14" style="222" bestFit="1" customWidth="1"/>
    <col min="1535" max="1535" width="14.140625" style="222" bestFit="1" customWidth="1"/>
    <col min="1536" max="1536" width="14" style="222" bestFit="1" customWidth="1"/>
    <col min="1537" max="1537" width="14.7109375" style="222" customWidth="1"/>
    <col min="1538" max="1538" width="11.140625" style="222" bestFit="1" customWidth="1"/>
    <col min="1539" max="1787" width="9.140625" style="222"/>
    <col min="1788" max="1788" width="23.28515625" style="222" customWidth="1"/>
    <col min="1789" max="1789" width="14.140625" style="222" bestFit="1" customWidth="1"/>
    <col min="1790" max="1790" width="14" style="222" bestFit="1" customWidth="1"/>
    <col min="1791" max="1791" width="14.140625" style="222" bestFit="1" customWidth="1"/>
    <col min="1792" max="1792" width="14" style="222" bestFit="1" customWidth="1"/>
    <col min="1793" max="1793" width="14.7109375" style="222" customWidth="1"/>
    <col min="1794" max="1794" width="11.140625" style="222" bestFit="1" customWidth="1"/>
    <col min="1795" max="2043" width="9.140625" style="222"/>
    <col min="2044" max="2044" width="23.28515625" style="222" customWidth="1"/>
    <col min="2045" max="2045" width="14.140625" style="222" bestFit="1" customWidth="1"/>
    <col min="2046" max="2046" width="14" style="222" bestFit="1" customWidth="1"/>
    <col min="2047" max="2047" width="14.140625" style="222" bestFit="1" customWidth="1"/>
    <col min="2048" max="2048" width="14" style="222" bestFit="1" customWidth="1"/>
    <col min="2049" max="2049" width="14.7109375" style="222" customWidth="1"/>
    <col min="2050" max="2050" width="11.140625" style="222" bestFit="1" customWidth="1"/>
    <col min="2051" max="2299" width="9.140625" style="222"/>
    <col min="2300" max="2300" width="23.28515625" style="222" customWidth="1"/>
    <col min="2301" max="2301" width="14.140625" style="222" bestFit="1" customWidth="1"/>
    <col min="2302" max="2302" width="14" style="222" bestFit="1" customWidth="1"/>
    <col min="2303" max="2303" width="14.140625" style="222" bestFit="1" customWidth="1"/>
    <col min="2304" max="2304" width="14" style="222" bestFit="1" customWidth="1"/>
    <col min="2305" max="2305" width="14.7109375" style="222" customWidth="1"/>
    <col min="2306" max="2306" width="11.140625" style="222" bestFit="1" customWidth="1"/>
    <col min="2307" max="2555" width="9.140625" style="222"/>
    <col min="2556" max="2556" width="23.28515625" style="222" customWidth="1"/>
    <col min="2557" max="2557" width="14.140625" style="222" bestFit="1" customWidth="1"/>
    <col min="2558" max="2558" width="14" style="222" bestFit="1" customWidth="1"/>
    <col min="2559" max="2559" width="14.140625" style="222" bestFit="1" customWidth="1"/>
    <col min="2560" max="2560" width="14" style="222" bestFit="1" customWidth="1"/>
    <col min="2561" max="2561" width="14.7109375" style="222" customWidth="1"/>
    <col min="2562" max="2562" width="11.140625" style="222" bestFit="1" customWidth="1"/>
    <col min="2563" max="2811" width="9.140625" style="222"/>
    <col min="2812" max="2812" width="23.28515625" style="222" customWidth="1"/>
    <col min="2813" max="2813" width="14.140625" style="222" bestFit="1" customWidth="1"/>
    <col min="2814" max="2814" width="14" style="222" bestFit="1" customWidth="1"/>
    <col min="2815" max="2815" width="14.140625" style="222" bestFit="1" customWidth="1"/>
    <col min="2816" max="2816" width="14" style="222" bestFit="1" customWidth="1"/>
    <col min="2817" max="2817" width="14.7109375" style="222" customWidth="1"/>
    <col min="2818" max="2818" width="11.140625" style="222" bestFit="1" customWidth="1"/>
    <col min="2819" max="3067" width="9.140625" style="222"/>
    <col min="3068" max="3068" width="23.28515625" style="222" customWidth="1"/>
    <col min="3069" max="3069" width="14.140625" style="222" bestFit="1" customWidth="1"/>
    <col min="3070" max="3070" width="14" style="222" bestFit="1" customWidth="1"/>
    <col min="3071" max="3071" width="14.140625" style="222" bestFit="1" customWidth="1"/>
    <col min="3072" max="3072" width="14" style="222" bestFit="1" customWidth="1"/>
    <col min="3073" max="3073" width="14.7109375" style="222" customWidth="1"/>
    <col min="3074" max="3074" width="11.140625" style="222" bestFit="1" customWidth="1"/>
    <col min="3075" max="3323" width="9.140625" style="222"/>
    <col min="3324" max="3324" width="23.28515625" style="222" customWidth="1"/>
    <col min="3325" max="3325" width="14.140625" style="222" bestFit="1" customWidth="1"/>
    <col min="3326" max="3326" width="14" style="222" bestFit="1" customWidth="1"/>
    <col min="3327" max="3327" width="14.140625" style="222" bestFit="1" customWidth="1"/>
    <col min="3328" max="3328" width="14" style="222" bestFit="1" customWidth="1"/>
    <col min="3329" max="3329" width="14.7109375" style="222" customWidth="1"/>
    <col min="3330" max="3330" width="11.140625" style="222" bestFit="1" customWidth="1"/>
    <col min="3331" max="3579" width="9.140625" style="222"/>
    <col min="3580" max="3580" width="23.28515625" style="222" customWidth="1"/>
    <col min="3581" max="3581" width="14.140625" style="222" bestFit="1" customWidth="1"/>
    <col min="3582" max="3582" width="14" style="222" bestFit="1" customWidth="1"/>
    <col min="3583" max="3583" width="14.140625" style="222" bestFit="1" customWidth="1"/>
    <col min="3584" max="3584" width="14" style="222" bestFit="1" customWidth="1"/>
    <col min="3585" max="3585" width="14.7109375" style="222" customWidth="1"/>
    <col min="3586" max="3586" width="11.140625" style="222" bestFit="1" customWidth="1"/>
    <col min="3587" max="3835" width="9.140625" style="222"/>
    <col min="3836" max="3836" width="23.28515625" style="222" customWidth="1"/>
    <col min="3837" max="3837" width="14.140625" style="222" bestFit="1" customWidth="1"/>
    <col min="3838" max="3838" width="14" style="222" bestFit="1" customWidth="1"/>
    <col min="3839" max="3839" width="14.140625" style="222" bestFit="1" customWidth="1"/>
    <col min="3840" max="3840" width="14" style="222" bestFit="1" customWidth="1"/>
    <col min="3841" max="3841" width="14.7109375" style="222" customWidth="1"/>
    <col min="3842" max="3842" width="11.140625" style="222" bestFit="1" customWidth="1"/>
    <col min="3843" max="4091" width="9.140625" style="222"/>
    <col min="4092" max="4092" width="23.28515625" style="222" customWidth="1"/>
    <col min="4093" max="4093" width="14.140625" style="222" bestFit="1" customWidth="1"/>
    <col min="4094" max="4094" width="14" style="222" bestFit="1" customWidth="1"/>
    <col min="4095" max="4095" width="14.140625" style="222" bestFit="1" customWidth="1"/>
    <col min="4096" max="4096" width="14" style="222" bestFit="1" customWidth="1"/>
    <col min="4097" max="4097" width="14.7109375" style="222" customWidth="1"/>
    <col min="4098" max="4098" width="11.140625" style="222" bestFit="1" customWidth="1"/>
    <col min="4099" max="4347" width="9.140625" style="222"/>
    <col min="4348" max="4348" width="23.28515625" style="222" customWidth="1"/>
    <col min="4349" max="4349" width="14.140625" style="222" bestFit="1" customWidth="1"/>
    <col min="4350" max="4350" width="14" style="222" bestFit="1" customWidth="1"/>
    <col min="4351" max="4351" width="14.140625" style="222" bestFit="1" customWidth="1"/>
    <col min="4352" max="4352" width="14" style="222" bestFit="1" customWidth="1"/>
    <col min="4353" max="4353" width="14.7109375" style="222" customWidth="1"/>
    <col min="4354" max="4354" width="11.140625" style="222" bestFit="1" customWidth="1"/>
    <col min="4355" max="4603" width="9.140625" style="222"/>
    <col min="4604" max="4604" width="23.28515625" style="222" customWidth="1"/>
    <col min="4605" max="4605" width="14.140625" style="222" bestFit="1" customWidth="1"/>
    <col min="4606" max="4606" width="14" style="222" bestFit="1" customWidth="1"/>
    <col min="4607" max="4607" width="14.140625" style="222" bestFit="1" customWidth="1"/>
    <col min="4608" max="4608" width="14" style="222" bestFit="1" customWidth="1"/>
    <col min="4609" max="4609" width="14.7109375" style="222" customWidth="1"/>
    <col min="4610" max="4610" width="11.140625" style="222" bestFit="1" customWidth="1"/>
    <col min="4611" max="4859" width="9.140625" style="222"/>
    <col min="4860" max="4860" width="23.28515625" style="222" customWidth="1"/>
    <col min="4861" max="4861" width="14.140625" style="222" bestFit="1" customWidth="1"/>
    <col min="4862" max="4862" width="14" style="222" bestFit="1" customWidth="1"/>
    <col min="4863" max="4863" width="14.140625" style="222" bestFit="1" customWidth="1"/>
    <col min="4864" max="4864" width="14" style="222" bestFit="1" customWidth="1"/>
    <col min="4865" max="4865" width="14.7109375" style="222" customWidth="1"/>
    <col min="4866" max="4866" width="11.140625" style="222" bestFit="1" customWidth="1"/>
    <col min="4867" max="5115" width="9.140625" style="222"/>
    <col min="5116" max="5116" width="23.28515625" style="222" customWidth="1"/>
    <col min="5117" max="5117" width="14.140625" style="222" bestFit="1" customWidth="1"/>
    <col min="5118" max="5118" width="14" style="222" bestFit="1" customWidth="1"/>
    <col min="5119" max="5119" width="14.140625" style="222" bestFit="1" customWidth="1"/>
    <col min="5120" max="5120" width="14" style="222" bestFit="1" customWidth="1"/>
    <col min="5121" max="5121" width="14.7109375" style="222" customWidth="1"/>
    <col min="5122" max="5122" width="11.140625" style="222" bestFit="1" customWidth="1"/>
    <col min="5123" max="5371" width="9.140625" style="222"/>
    <col min="5372" max="5372" width="23.28515625" style="222" customWidth="1"/>
    <col min="5373" max="5373" width="14.140625" style="222" bestFit="1" customWidth="1"/>
    <col min="5374" max="5374" width="14" style="222" bestFit="1" customWidth="1"/>
    <col min="5375" max="5375" width="14.140625" style="222" bestFit="1" customWidth="1"/>
    <col min="5376" max="5376" width="14" style="222" bestFit="1" customWidth="1"/>
    <col min="5377" max="5377" width="14.7109375" style="222" customWidth="1"/>
    <col min="5378" max="5378" width="11.140625" style="222" bestFit="1" customWidth="1"/>
    <col min="5379" max="5627" width="9.140625" style="222"/>
    <col min="5628" max="5628" width="23.28515625" style="222" customWidth="1"/>
    <col min="5629" max="5629" width="14.140625" style="222" bestFit="1" customWidth="1"/>
    <col min="5630" max="5630" width="14" style="222" bestFit="1" customWidth="1"/>
    <col min="5631" max="5631" width="14.140625" style="222" bestFit="1" customWidth="1"/>
    <col min="5632" max="5632" width="14" style="222" bestFit="1" customWidth="1"/>
    <col min="5633" max="5633" width="14.7109375" style="222" customWidth="1"/>
    <col min="5634" max="5634" width="11.140625" style="222" bestFit="1" customWidth="1"/>
    <col min="5635" max="5883" width="9.140625" style="222"/>
    <col min="5884" max="5884" width="23.28515625" style="222" customWidth="1"/>
    <col min="5885" max="5885" width="14.140625" style="222" bestFit="1" customWidth="1"/>
    <col min="5886" max="5886" width="14" style="222" bestFit="1" customWidth="1"/>
    <col min="5887" max="5887" width="14.140625" style="222" bestFit="1" customWidth="1"/>
    <col min="5888" max="5888" width="14" style="222" bestFit="1" customWidth="1"/>
    <col min="5889" max="5889" width="14.7109375" style="222" customWidth="1"/>
    <col min="5890" max="5890" width="11.140625" style="222" bestFit="1" customWidth="1"/>
    <col min="5891" max="6139" width="9.140625" style="222"/>
    <col min="6140" max="6140" width="23.28515625" style="222" customWidth="1"/>
    <col min="6141" max="6141" width="14.140625" style="222" bestFit="1" customWidth="1"/>
    <col min="6142" max="6142" width="14" style="222" bestFit="1" customWidth="1"/>
    <col min="6143" max="6143" width="14.140625" style="222" bestFit="1" customWidth="1"/>
    <col min="6144" max="6144" width="14" style="222" bestFit="1" customWidth="1"/>
    <col min="6145" max="6145" width="14.7109375" style="222" customWidth="1"/>
    <col min="6146" max="6146" width="11.140625" style="222" bestFit="1" customWidth="1"/>
    <col min="6147" max="6395" width="9.140625" style="222"/>
    <col min="6396" max="6396" width="23.28515625" style="222" customWidth="1"/>
    <col min="6397" max="6397" width="14.140625" style="222" bestFit="1" customWidth="1"/>
    <col min="6398" max="6398" width="14" style="222" bestFit="1" customWidth="1"/>
    <col min="6399" max="6399" width="14.140625" style="222" bestFit="1" customWidth="1"/>
    <col min="6400" max="6400" width="14" style="222" bestFit="1" customWidth="1"/>
    <col min="6401" max="6401" width="14.7109375" style="222" customWidth="1"/>
    <col min="6402" max="6402" width="11.140625" style="222" bestFit="1" customWidth="1"/>
    <col min="6403" max="6651" width="9.140625" style="222"/>
    <col min="6652" max="6652" width="23.28515625" style="222" customWidth="1"/>
    <col min="6653" max="6653" width="14.140625" style="222" bestFit="1" customWidth="1"/>
    <col min="6654" max="6654" width="14" style="222" bestFit="1" customWidth="1"/>
    <col min="6655" max="6655" width="14.140625" style="222" bestFit="1" customWidth="1"/>
    <col min="6656" max="6656" width="14" style="222" bestFit="1" customWidth="1"/>
    <col min="6657" max="6657" width="14.7109375" style="222" customWidth="1"/>
    <col min="6658" max="6658" width="11.140625" style="222" bestFit="1" customWidth="1"/>
    <col min="6659" max="6907" width="9.140625" style="222"/>
    <col min="6908" max="6908" width="23.28515625" style="222" customWidth="1"/>
    <col min="6909" max="6909" width="14.140625" style="222" bestFit="1" customWidth="1"/>
    <col min="6910" max="6910" width="14" style="222" bestFit="1" customWidth="1"/>
    <col min="6911" max="6911" width="14.140625" style="222" bestFit="1" customWidth="1"/>
    <col min="6912" max="6912" width="14" style="222" bestFit="1" customWidth="1"/>
    <col min="6913" max="6913" width="14.7109375" style="222" customWidth="1"/>
    <col min="6914" max="6914" width="11.140625" style="222" bestFit="1" customWidth="1"/>
    <col min="6915" max="7163" width="9.140625" style="222"/>
    <col min="7164" max="7164" width="23.28515625" style="222" customWidth="1"/>
    <col min="7165" max="7165" width="14.140625" style="222" bestFit="1" customWidth="1"/>
    <col min="7166" max="7166" width="14" style="222" bestFit="1" customWidth="1"/>
    <col min="7167" max="7167" width="14.140625" style="222" bestFit="1" customWidth="1"/>
    <col min="7168" max="7168" width="14" style="222" bestFit="1" customWidth="1"/>
    <col min="7169" max="7169" width="14.7109375" style="222" customWidth="1"/>
    <col min="7170" max="7170" width="11.140625" style="222" bestFit="1" customWidth="1"/>
    <col min="7171" max="7419" width="9.140625" style="222"/>
    <col min="7420" max="7420" width="23.28515625" style="222" customWidth="1"/>
    <col min="7421" max="7421" width="14.140625" style="222" bestFit="1" customWidth="1"/>
    <col min="7422" max="7422" width="14" style="222" bestFit="1" customWidth="1"/>
    <col min="7423" max="7423" width="14.140625" style="222" bestFit="1" customWidth="1"/>
    <col min="7424" max="7424" width="14" style="222" bestFit="1" customWidth="1"/>
    <col min="7425" max="7425" width="14.7109375" style="222" customWidth="1"/>
    <col min="7426" max="7426" width="11.140625" style="222" bestFit="1" customWidth="1"/>
    <col min="7427" max="7675" width="9.140625" style="222"/>
    <col min="7676" max="7676" width="23.28515625" style="222" customWidth="1"/>
    <col min="7677" max="7677" width="14.140625" style="222" bestFit="1" customWidth="1"/>
    <col min="7678" max="7678" width="14" style="222" bestFit="1" customWidth="1"/>
    <col min="7679" max="7679" width="14.140625" style="222" bestFit="1" customWidth="1"/>
    <col min="7680" max="7680" width="14" style="222" bestFit="1" customWidth="1"/>
    <col min="7681" max="7681" width="14.7109375" style="222" customWidth="1"/>
    <col min="7682" max="7682" width="11.140625" style="222" bestFit="1" customWidth="1"/>
    <col min="7683" max="7931" width="9.140625" style="222"/>
    <col min="7932" max="7932" width="23.28515625" style="222" customWidth="1"/>
    <col min="7933" max="7933" width="14.140625" style="222" bestFit="1" customWidth="1"/>
    <col min="7934" max="7934" width="14" style="222" bestFit="1" customWidth="1"/>
    <col min="7935" max="7935" width="14.140625" style="222" bestFit="1" customWidth="1"/>
    <col min="7936" max="7936" width="14" style="222" bestFit="1" customWidth="1"/>
    <col min="7937" max="7937" width="14.7109375" style="222" customWidth="1"/>
    <col min="7938" max="7938" width="11.140625" style="222" bestFit="1" customWidth="1"/>
    <col min="7939" max="8187" width="9.140625" style="222"/>
    <col min="8188" max="8188" width="23.28515625" style="222" customWidth="1"/>
    <col min="8189" max="8189" width="14.140625" style="222" bestFit="1" customWidth="1"/>
    <col min="8190" max="8190" width="14" style="222" bestFit="1" customWidth="1"/>
    <col min="8191" max="8191" width="14.140625" style="222" bestFit="1" customWidth="1"/>
    <col min="8192" max="8192" width="14" style="222" bestFit="1" customWidth="1"/>
    <col min="8193" max="8193" width="14.7109375" style="222" customWidth="1"/>
    <col min="8194" max="8194" width="11.140625" style="222" bestFit="1" customWidth="1"/>
    <col min="8195" max="8443" width="9.140625" style="222"/>
    <col min="8444" max="8444" width="23.28515625" style="222" customWidth="1"/>
    <col min="8445" max="8445" width="14.140625" style="222" bestFit="1" customWidth="1"/>
    <col min="8446" max="8446" width="14" style="222" bestFit="1" customWidth="1"/>
    <col min="8447" max="8447" width="14.140625" style="222" bestFit="1" customWidth="1"/>
    <col min="8448" max="8448" width="14" style="222" bestFit="1" customWidth="1"/>
    <col min="8449" max="8449" width="14.7109375" style="222" customWidth="1"/>
    <col min="8450" max="8450" width="11.140625" style="222" bestFit="1" customWidth="1"/>
    <col min="8451" max="8699" width="9.140625" style="222"/>
    <col min="8700" max="8700" width="23.28515625" style="222" customWidth="1"/>
    <col min="8701" max="8701" width="14.140625" style="222" bestFit="1" customWidth="1"/>
    <col min="8702" max="8702" width="14" style="222" bestFit="1" customWidth="1"/>
    <col min="8703" max="8703" width="14.140625" style="222" bestFit="1" customWidth="1"/>
    <col min="8704" max="8704" width="14" style="222" bestFit="1" customWidth="1"/>
    <col min="8705" max="8705" width="14.7109375" style="222" customWidth="1"/>
    <col min="8706" max="8706" width="11.140625" style="222" bestFit="1" customWidth="1"/>
    <col min="8707" max="8955" width="9.140625" style="222"/>
    <col min="8956" max="8956" width="23.28515625" style="222" customWidth="1"/>
    <col min="8957" max="8957" width="14.140625" style="222" bestFit="1" customWidth="1"/>
    <col min="8958" max="8958" width="14" style="222" bestFit="1" customWidth="1"/>
    <col min="8959" max="8959" width="14.140625" style="222" bestFit="1" customWidth="1"/>
    <col min="8960" max="8960" width="14" style="222" bestFit="1" customWidth="1"/>
    <col min="8961" max="8961" width="14.7109375" style="222" customWidth="1"/>
    <col min="8962" max="8962" width="11.140625" style="222" bestFit="1" customWidth="1"/>
    <col min="8963" max="9211" width="9.140625" style="222"/>
    <col min="9212" max="9212" width="23.28515625" style="222" customWidth="1"/>
    <col min="9213" max="9213" width="14.140625" style="222" bestFit="1" customWidth="1"/>
    <col min="9214" max="9214" width="14" style="222" bestFit="1" customWidth="1"/>
    <col min="9215" max="9215" width="14.140625" style="222" bestFit="1" customWidth="1"/>
    <col min="9216" max="9216" width="14" style="222" bestFit="1" customWidth="1"/>
    <col min="9217" max="9217" width="14.7109375" style="222" customWidth="1"/>
    <col min="9218" max="9218" width="11.140625" style="222" bestFit="1" customWidth="1"/>
    <col min="9219" max="9467" width="9.140625" style="222"/>
    <col min="9468" max="9468" width="23.28515625" style="222" customWidth="1"/>
    <col min="9469" max="9469" width="14.140625" style="222" bestFit="1" customWidth="1"/>
    <col min="9470" max="9470" width="14" style="222" bestFit="1" customWidth="1"/>
    <col min="9471" max="9471" width="14.140625" style="222" bestFit="1" customWidth="1"/>
    <col min="9472" max="9472" width="14" style="222" bestFit="1" customWidth="1"/>
    <col min="9473" max="9473" width="14.7109375" style="222" customWidth="1"/>
    <col min="9474" max="9474" width="11.140625" style="222" bestFit="1" customWidth="1"/>
    <col min="9475" max="9723" width="9.140625" style="222"/>
    <col min="9724" max="9724" width="23.28515625" style="222" customWidth="1"/>
    <col min="9725" max="9725" width="14.140625" style="222" bestFit="1" customWidth="1"/>
    <col min="9726" max="9726" width="14" style="222" bestFit="1" customWidth="1"/>
    <col min="9727" max="9727" width="14.140625" style="222" bestFit="1" customWidth="1"/>
    <col min="9728" max="9728" width="14" style="222" bestFit="1" customWidth="1"/>
    <col min="9729" max="9729" width="14.7109375" style="222" customWidth="1"/>
    <col min="9730" max="9730" width="11.140625" style="222" bestFit="1" customWidth="1"/>
    <col min="9731" max="9979" width="9.140625" style="222"/>
    <col min="9980" max="9980" width="23.28515625" style="222" customWidth="1"/>
    <col min="9981" max="9981" width="14.140625" style="222" bestFit="1" customWidth="1"/>
    <col min="9982" max="9982" width="14" style="222" bestFit="1" customWidth="1"/>
    <col min="9983" max="9983" width="14.140625" style="222" bestFit="1" customWidth="1"/>
    <col min="9984" max="9984" width="14" style="222" bestFit="1" customWidth="1"/>
    <col min="9985" max="9985" width="14.7109375" style="222" customWidth="1"/>
    <col min="9986" max="9986" width="11.140625" style="222" bestFit="1" customWidth="1"/>
    <col min="9987" max="10235" width="9.140625" style="222"/>
    <col min="10236" max="10236" width="23.28515625" style="222" customWidth="1"/>
    <col min="10237" max="10237" width="14.140625" style="222" bestFit="1" customWidth="1"/>
    <col min="10238" max="10238" width="14" style="222" bestFit="1" customWidth="1"/>
    <col min="10239" max="10239" width="14.140625" style="222" bestFit="1" customWidth="1"/>
    <col min="10240" max="10240" width="14" style="222" bestFit="1" customWidth="1"/>
    <col min="10241" max="10241" width="14.7109375" style="222" customWidth="1"/>
    <col min="10242" max="10242" width="11.140625" style="222" bestFit="1" customWidth="1"/>
    <col min="10243" max="10491" width="9.140625" style="222"/>
    <col min="10492" max="10492" width="23.28515625" style="222" customWidth="1"/>
    <col min="10493" max="10493" width="14.140625" style="222" bestFit="1" customWidth="1"/>
    <col min="10494" max="10494" width="14" style="222" bestFit="1" customWidth="1"/>
    <col min="10495" max="10495" width="14.140625" style="222" bestFit="1" customWidth="1"/>
    <col min="10496" max="10496" width="14" style="222" bestFit="1" customWidth="1"/>
    <col min="10497" max="10497" width="14.7109375" style="222" customWidth="1"/>
    <col min="10498" max="10498" width="11.140625" style="222" bestFit="1" customWidth="1"/>
    <col min="10499" max="10747" width="9.140625" style="222"/>
    <col min="10748" max="10748" width="23.28515625" style="222" customWidth="1"/>
    <col min="10749" max="10749" width="14.140625" style="222" bestFit="1" customWidth="1"/>
    <col min="10750" max="10750" width="14" style="222" bestFit="1" customWidth="1"/>
    <col min="10751" max="10751" width="14.140625" style="222" bestFit="1" customWidth="1"/>
    <col min="10752" max="10752" width="14" style="222" bestFit="1" customWidth="1"/>
    <col min="10753" max="10753" width="14.7109375" style="222" customWidth="1"/>
    <col min="10754" max="10754" width="11.140625" style="222" bestFit="1" customWidth="1"/>
    <col min="10755" max="11003" width="9.140625" style="222"/>
    <col min="11004" max="11004" width="23.28515625" style="222" customWidth="1"/>
    <col min="11005" max="11005" width="14.140625" style="222" bestFit="1" customWidth="1"/>
    <col min="11006" max="11006" width="14" style="222" bestFit="1" customWidth="1"/>
    <col min="11007" max="11007" width="14.140625" style="222" bestFit="1" customWidth="1"/>
    <col min="11008" max="11008" width="14" style="222" bestFit="1" customWidth="1"/>
    <col min="11009" max="11009" width="14.7109375" style="222" customWidth="1"/>
    <col min="11010" max="11010" width="11.140625" style="222" bestFit="1" customWidth="1"/>
    <col min="11011" max="11259" width="9.140625" style="222"/>
    <col min="11260" max="11260" width="23.28515625" style="222" customWidth="1"/>
    <col min="11261" max="11261" width="14.140625" style="222" bestFit="1" customWidth="1"/>
    <col min="11262" max="11262" width="14" style="222" bestFit="1" customWidth="1"/>
    <col min="11263" max="11263" width="14.140625" style="222" bestFit="1" customWidth="1"/>
    <col min="11264" max="11264" width="14" style="222" bestFit="1" customWidth="1"/>
    <col min="11265" max="11265" width="14.7109375" style="222" customWidth="1"/>
    <col min="11266" max="11266" width="11.140625" style="222" bestFit="1" customWidth="1"/>
    <col min="11267" max="11515" width="9.140625" style="222"/>
    <col min="11516" max="11516" width="23.28515625" style="222" customWidth="1"/>
    <col min="11517" max="11517" width="14.140625" style="222" bestFit="1" customWidth="1"/>
    <col min="11518" max="11518" width="14" style="222" bestFit="1" customWidth="1"/>
    <col min="11519" max="11519" width="14.140625" style="222" bestFit="1" customWidth="1"/>
    <col min="11520" max="11520" width="14" style="222" bestFit="1" customWidth="1"/>
    <col min="11521" max="11521" width="14.7109375" style="222" customWidth="1"/>
    <col min="11522" max="11522" width="11.140625" style="222" bestFit="1" customWidth="1"/>
    <col min="11523" max="11771" width="9.140625" style="222"/>
    <col min="11772" max="11772" width="23.28515625" style="222" customWidth="1"/>
    <col min="11773" max="11773" width="14.140625" style="222" bestFit="1" customWidth="1"/>
    <col min="11774" max="11774" width="14" style="222" bestFit="1" customWidth="1"/>
    <col min="11775" max="11775" width="14.140625" style="222" bestFit="1" customWidth="1"/>
    <col min="11776" max="11776" width="14" style="222" bestFit="1" customWidth="1"/>
    <col min="11777" max="11777" width="14.7109375" style="222" customWidth="1"/>
    <col min="11778" max="11778" width="11.140625" style="222" bestFit="1" customWidth="1"/>
    <col min="11779" max="12027" width="9.140625" style="222"/>
    <col min="12028" max="12028" width="23.28515625" style="222" customWidth="1"/>
    <col min="12029" max="12029" width="14.140625" style="222" bestFit="1" customWidth="1"/>
    <col min="12030" max="12030" width="14" style="222" bestFit="1" customWidth="1"/>
    <col min="12031" max="12031" width="14.140625" style="222" bestFit="1" customWidth="1"/>
    <col min="12032" max="12032" width="14" style="222" bestFit="1" customWidth="1"/>
    <col min="12033" max="12033" width="14.7109375" style="222" customWidth="1"/>
    <col min="12034" max="12034" width="11.140625" style="222" bestFit="1" customWidth="1"/>
    <col min="12035" max="12283" width="9.140625" style="222"/>
    <col min="12284" max="12284" width="23.28515625" style="222" customWidth="1"/>
    <col min="12285" max="12285" width="14.140625" style="222" bestFit="1" customWidth="1"/>
    <col min="12286" max="12286" width="14" style="222" bestFit="1" customWidth="1"/>
    <col min="12287" max="12287" width="14.140625" style="222" bestFit="1" customWidth="1"/>
    <col min="12288" max="12288" width="14" style="222" bestFit="1" customWidth="1"/>
    <col min="12289" max="12289" width="14.7109375" style="222" customWidth="1"/>
    <col min="12290" max="12290" width="11.140625" style="222" bestFit="1" customWidth="1"/>
    <col min="12291" max="12539" width="9.140625" style="222"/>
    <col min="12540" max="12540" width="23.28515625" style="222" customWidth="1"/>
    <col min="12541" max="12541" width="14.140625" style="222" bestFit="1" customWidth="1"/>
    <col min="12542" max="12542" width="14" style="222" bestFit="1" customWidth="1"/>
    <col min="12543" max="12543" width="14.140625" style="222" bestFit="1" customWidth="1"/>
    <col min="12544" max="12544" width="14" style="222" bestFit="1" customWidth="1"/>
    <col min="12545" max="12545" width="14.7109375" style="222" customWidth="1"/>
    <col min="12546" max="12546" width="11.140625" style="222" bestFit="1" customWidth="1"/>
    <col min="12547" max="12795" width="9.140625" style="222"/>
    <col min="12796" max="12796" width="23.28515625" style="222" customWidth="1"/>
    <col min="12797" max="12797" width="14.140625" style="222" bestFit="1" customWidth="1"/>
    <col min="12798" max="12798" width="14" style="222" bestFit="1" customWidth="1"/>
    <col min="12799" max="12799" width="14.140625" style="222" bestFit="1" customWidth="1"/>
    <col min="12800" max="12800" width="14" style="222" bestFit="1" customWidth="1"/>
    <col min="12801" max="12801" width="14.7109375" style="222" customWidth="1"/>
    <col min="12802" max="12802" width="11.140625" style="222" bestFit="1" customWidth="1"/>
    <col min="12803" max="13051" width="9.140625" style="222"/>
    <col min="13052" max="13052" width="23.28515625" style="222" customWidth="1"/>
    <col min="13053" max="13053" width="14.140625" style="222" bestFit="1" customWidth="1"/>
    <col min="13054" max="13054" width="14" style="222" bestFit="1" customWidth="1"/>
    <col min="13055" max="13055" width="14.140625" style="222" bestFit="1" customWidth="1"/>
    <col min="13056" max="13056" width="14" style="222" bestFit="1" customWidth="1"/>
    <col min="13057" max="13057" width="14.7109375" style="222" customWidth="1"/>
    <col min="13058" max="13058" width="11.140625" style="222" bestFit="1" customWidth="1"/>
    <col min="13059" max="13307" width="9.140625" style="222"/>
    <col min="13308" max="13308" width="23.28515625" style="222" customWidth="1"/>
    <col min="13309" max="13309" width="14.140625" style="222" bestFit="1" customWidth="1"/>
    <col min="13310" max="13310" width="14" style="222" bestFit="1" customWidth="1"/>
    <col min="13311" max="13311" width="14.140625" style="222" bestFit="1" customWidth="1"/>
    <col min="13312" max="13312" width="14" style="222" bestFit="1" customWidth="1"/>
    <col min="13313" max="13313" width="14.7109375" style="222" customWidth="1"/>
    <col min="13314" max="13314" width="11.140625" style="222" bestFit="1" customWidth="1"/>
    <col min="13315" max="13563" width="9.140625" style="222"/>
    <col min="13564" max="13564" width="23.28515625" style="222" customWidth="1"/>
    <col min="13565" max="13565" width="14.140625" style="222" bestFit="1" customWidth="1"/>
    <col min="13566" max="13566" width="14" style="222" bestFit="1" customWidth="1"/>
    <col min="13567" max="13567" width="14.140625" style="222" bestFit="1" customWidth="1"/>
    <col min="13568" max="13568" width="14" style="222" bestFit="1" customWidth="1"/>
    <col min="13569" max="13569" width="14.7109375" style="222" customWidth="1"/>
    <col min="13570" max="13570" width="11.140625" style="222" bestFit="1" customWidth="1"/>
    <col min="13571" max="13819" width="9.140625" style="222"/>
    <col min="13820" max="13820" width="23.28515625" style="222" customWidth="1"/>
    <col min="13821" max="13821" width="14.140625" style="222" bestFit="1" customWidth="1"/>
    <col min="13822" max="13822" width="14" style="222" bestFit="1" customWidth="1"/>
    <col min="13823" max="13823" width="14.140625" style="222" bestFit="1" customWidth="1"/>
    <col min="13824" max="13824" width="14" style="222" bestFit="1" customWidth="1"/>
    <col min="13825" max="13825" width="14.7109375" style="222" customWidth="1"/>
    <col min="13826" max="13826" width="11.140625" style="222" bestFit="1" customWidth="1"/>
    <col min="13827" max="14075" width="9.140625" style="222"/>
    <col min="14076" max="14076" width="23.28515625" style="222" customWidth="1"/>
    <col min="14077" max="14077" width="14.140625" style="222" bestFit="1" customWidth="1"/>
    <col min="14078" max="14078" width="14" style="222" bestFit="1" customWidth="1"/>
    <col min="14079" max="14079" width="14.140625" style="222" bestFit="1" customWidth="1"/>
    <col min="14080" max="14080" width="14" style="222" bestFit="1" customWidth="1"/>
    <col min="14081" max="14081" width="14.7109375" style="222" customWidth="1"/>
    <col min="14082" max="14082" width="11.140625" style="222" bestFit="1" customWidth="1"/>
    <col min="14083" max="14331" width="9.140625" style="222"/>
    <col min="14332" max="14332" width="23.28515625" style="222" customWidth="1"/>
    <col min="14333" max="14333" width="14.140625" style="222" bestFit="1" customWidth="1"/>
    <col min="14334" max="14334" width="14" style="222" bestFit="1" customWidth="1"/>
    <col min="14335" max="14335" width="14.140625" style="222" bestFit="1" customWidth="1"/>
    <col min="14336" max="14336" width="14" style="222" bestFit="1" customWidth="1"/>
    <col min="14337" max="14337" width="14.7109375" style="222" customWidth="1"/>
    <col min="14338" max="14338" width="11.140625" style="222" bestFit="1" customWidth="1"/>
    <col min="14339" max="14587" width="9.140625" style="222"/>
    <col min="14588" max="14588" width="23.28515625" style="222" customWidth="1"/>
    <col min="14589" max="14589" width="14.140625" style="222" bestFit="1" customWidth="1"/>
    <col min="14590" max="14590" width="14" style="222" bestFit="1" customWidth="1"/>
    <col min="14591" max="14591" width="14.140625" style="222" bestFit="1" customWidth="1"/>
    <col min="14592" max="14592" width="14" style="222" bestFit="1" customWidth="1"/>
    <col min="14593" max="14593" width="14.7109375" style="222" customWidth="1"/>
    <col min="14594" max="14594" width="11.140625" style="222" bestFit="1" customWidth="1"/>
    <col min="14595" max="14843" width="9.140625" style="222"/>
    <col min="14844" max="14844" width="23.28515625" style="222" customWidth="1"/>
    <col min="14845" max="14845" width="14.140625" style="222" bestFit="1" customWidth="1"/>
    <col min="14846" max="14846" width="14" style="222" bestFit="1" customWidth="1"/>
    <col min="14847" max="14847" width="14.140625" style="222" bestFit="1" customWidth="1"/>
    <col min="14848" max="14848" width="14" style="222" bestFit="1" customWidth="1"/>
    <col min="14849" max="14849" width="14.7109375" style="222" customWidth="1"/>
    <col min="14850" max="14850" width="11.140625" style="222" bestFit="1" customWidth="1"/>
    <col min="14851" max="15099" width="9.140625" style="222"/>
    <col min="15100" max="15100" width="23.28515625" style="222" customWidth="1"/>
    <col min="15101" max="15101" width="14.140625" style="222" bestFit="1" customWidth="1"/>
    <col min="15102" max="15102" width="14" style="222" bestFit="1" customWidth="1"/>
    <col min="15103" max="15103" width="14.140625" style="222" bestFit="1" customWidth="1"/>
    <col min="15104" max="15104" width="14" style="222" bestFit="1" customWidth="1"/>
    <col min="15105" max="15105" width="14.7109375" style="222" customWidth="1"/>
    <col min="15106" max="15106" width="11.140625" style="222" bestFit="1" customWidth="1"/>
    <col min="15107" max="15355" width="9.140625" style="222"/>
    <col min="15356" max="15356" width="23.28515625" style="222" customWidth="1"/>
    <col min="15357" max="15357" width="14.140625" style="222" bestFit="1" customWidth="1"/>
    <col min="15358" max="15358" width="14" style="222" bestFit="1" customWidth="1"/>
    <col min="15359" max="15359" width="14.140625" style="222" bestFit="1" customWidth="1"/>
    <col min="15360" max="15360" width="14" style="222" bestFit="1" customWidth="1"/>
    <col min="15361" max="15361" width="14.7109375" style="222" customWidth="1"/>
    <col min="15362" max="15362" width="11.140625" style="222" bestFit="1" customWidth="1"/>
    <col min="15363" max="15611" width="9.140625" style="222"/>
    <col min="15612" max="15612" width="23.28515625" style="222" customWidth="1"/>
    <col min="15613" max="15613" width="14.140625" style="222" bestFit="1" customWidth="1"/>
    <col min="15614" max="15614" width="14" style="222" bestFit="1" customWidth="1"/>
    <col min="15615" max="15615" width="14.140625" style="222" bestFit="1" customWidth="1"/>
    <col min="15616" max="15616" width="14" style="222" bestFit="1" customWidth="1"/>
    <col min="15617" max="15617" width="14.7109375" style="222" customWidth="1"/>
    <col min="15618" max="15618" width="11.140625" style="222" bestFit="1" customWidth="1"/>
    <col min="15619" max="15867" width="9.140625" style="222"/>
    <col min="15868" max="15868" width="23.28515625" style="222" customWidth="1"/>
    <col min="15869" max="15869" width="14.140625" style="222" bestFit="1" customWidth="1"/>
    <col min="15870" max="15870" width="14" style="222" bestFit="1" customWidth="1"/>
    <col min="15871" max="15871" width="14.140625" style="222" bestFit="1" customWidth="1"/>
    <col min="15872" max="15872" width="14" style="222" bestFit="1" customWidth="1"/>
    <col min="15873" max="15873" width="14.7109375" style="222" customWidth="1"/>
    <col min="15874" max="15874" width="11.140625" style="222" bestFit="1" customWidth="1"/>
    <col min="15875" max="16123" width="9.140625" style="222"/>
    <col min="16124" max="16124" width="23.28515625" style="222" customWidth="1"/>
    <col min="16125" max="16125" width="14.140625" style="222" bestFit="1" customWidth="1"/>
    <col min="16126" max="16126" width="14" style="222" bestFit="1" customWidth="1"/>
    <col min="16127" max="16127" width="14.140625" style="222" bestFit="1" customWidth="1"/>
    <col min="16128" max="16128" width="14" style="222" bestFit="1" customWidth="1"/>
    <col min="16129" max="16129" width="14.7109375" style="222" customWidth="1"/>
    <col min="16130" max="16130" width="11.140625" style="222" bestFit="1" customWidth="1"/>
    <col min="16131" max="16384" width="9.140625" style="222"/>
  </cols>
  <sheetData>
    <row r="1" spans="1:5" ht="23.25" x14ac:dyDescent="0.35">
      <c r="A1" s="565" t="s">
        <v>13</v>
      </c>
      <c r="B1" s="565"/>
    </row>
    <row r="2" spans="1:5" ht="24" customHeight="1" thickBot="1" x14ac:dyDescent="0.4">
      <c r="A2" s="223" t="s">
        <v>151</v>
      </c>
      <c r="B2" s="224"/>
    </row>
    <row r="3" spans="1:5" ht="18.75" customHeight="1" thickTop="1" x14ac:dyDescent="0.25"/>
    <row r="4" spans="1:5" ht="11.25" hidden="1" customHeight="1" x14ac:dyDescent="0.25">
      <c r="A4" s="226"/>
      <c r="B4" s="228"/>
    </row>
    <row r="5" spans="1:5" x14ac:dyDescent="0.25">
      <c r="A5" s="248" t="s">
        <v>166</v>
      </c>
      <c r="B5" s="229" t="s">
        <v>152</v>
      </c>
      <c r="D5" s="222" t="s">
        <v>205</v>
      </c>
    </row>
    <row r="6" spans="1:5" x14ac:dyDescent="0.25">
      <c r="A6" s="519">
        <v>60250</v>
      </c>
      <c r="B6" s="230" t="s">
        <v>153</v>
      </c>
      <c r="C6" s="230" t="s">
        <v>169</v>
      </c>
      <c r="D6" s="535">
        <f>+'Population Assumptions'!E7</f>
        <v>185.65</v>
      </c>
      <c r="E6" s="535">
        <f>+'Population Assumptions'!E4</f>
        <v>1278.7</v>
      </c>
    </row>
    <row r="7" spans="1:5" ht="31.5" x14ac:dyDescent="0.25">
      <c r="A7" s="226"/>
      <c r="B7" s="231" t="s">
        <v>154</v>
      </c>
      <c r="C7" s="231" t="s">
        <v>170</v>
      </c>
      <c r="D7" s="282" t="s">
        <v>107</v>
      </c>
      <c r="E7" s="284" t="s">
        <v>125</v>
      </c>
    </row>
    <row r="8" spans="1:5" x14ac:dyDescent="0.25">
      <c r="A8" s="226"/>
      <c r="B8" s="230"/>
      <c r="D8" s="283"/>
      <c r="E8" s="283"/>
    </row>
    <row r="9" spans="1:5" x14ac:dyDescent="0.25">
      <c r="A9" s="227"/>
      <c r="B9" s="228"/>
      <c r="D9" s="283"/>
      <c r="E9" s="283"/>
    </row>
    <row r="10" spans="1:5" x14ac:dyDescent="0.25">
      <c r="A10" s="226" t="s">
        <v>149</v>
      </c>
      <c r="B10" s="232"/>
      <c r="D10" s="283"/>
      <c r="E10" s="283"/>
    </row>
    <row r="11" spans="1:5" x14ac:dyDescent="0.25">
      <c r="A11" s="233" t="s">
        <v>155</v>
      </c>
      <c r="B11" s="536">
        <v>417068</v>
      </c>
      <c r="C11" s="234">
        <f>+B11/$A$6</f>
        <v>6.9222904564315355</v>
      </c>
      <c r="D11" s="285">
        <f>+C11*$D$6</f>
        <v>1285.1232232365146</v>
      </c>
      <c r="E11" s="285">
        <f>+$E$6*C11</f>
        <v>8851.5328066390048</v>
      </c>
    </row>
    <row r="12" spans="1:5" x14ac:dyDescent="0.25">
      <c r="A12" s="233" t="s">
        <v>156</v>
      </c>
      <c r="B12" s="537">
        <v>2504747</v>
      </c>
      <c r="C12" s="235">
        <f t="shared" ref="C12:C41" si="0">+B12/$A$6</f>
        <v>41.5725643153527</v>
      </c>
      <c r="D12" s="285">
        <f t="shared" ref="D12:D45" si="1">+C12*$D$6</f>
        <v>7717.9465651452292</v>
      </c>
      <c r="E12" s="285">
        <f t="shared" ref="E12:E45" si="2">+$E$6*C12</f>
        <v>53158.837990041502</v>
      </c>
    </row>
    <row r="13" spans="1:5" x14ac:dyDescent="0.25">
      <c r="A13" s="233" t="s">
        <v>157</v>
      </c>
      <c r="B13" s="537">
        <v>1468795</v>
      </c>
      <c r="C13" s="235">
        <f t="shared" si="0"/>
        <v>24.378340248962655</v>
      </c>
      <c r="D13" s="285">
        <f t="shared" si="1"/>
        <v>4525.8388672199171</v>
      </c>
      <c r="E13" s="285">
        <f t="shared" si="2"/>
        <v>31172.583676348546</v>
      </c>
    </row>
    <row r="14" spans="1:5" x14ac:dyDescent="0.25">
      <c r="A14" s="233" t="s">
        <v>158</v>
      </c>
      <c r="B14" s="537">
        <v>1822728</v>
      </c>
      <c r="C14" s="235">
        <f t="shared" si="0"/>
        <v>30.252746887966804</v>
      </c>
      <c r="D14" s="285">
        <f t="shared" si="1"/>
        <v>5616.4224597510374</v>
      </c>
      <c r="E14" s="285">
        <f t="shared" si="2"/>
        <v>38684.187445643154</v>
      </c>
    </row>
    <row r="15" spans="1:5" x14ac:dyDescent="0.25">
      <c r="A15" s="233" t="s">
        <v>159</v>
      </c>
      <c r="B15" s="537">
        <v>1428111</v>
      </c>
      <c r="C15" s="235">
        <f t="shared" si="0"/>
        <v>23.703087136929462</v>
      </c>
      <c r="D15" s="285">
        <f t="shared" si="1"/>
        <v>4400.4781269709547</v>
      </c>
      <c r="E15" s="285">
        <f t="shared" si="2"/>
        <v>30309.137521991703</v>
      </c>
    </row>
    <row r="16" spans="1:5" x14ac:dyDescent="0.25">
      <c r="A16" s="233" t="s">
        <v>160</v>
      </c>
      <c r="B16" s="537">
        <v>308660</v>
      </c>
      <c r="C16" s="235">
        <f t="shared" si="0"/>
        <v>5.1229875518672197</v>
      </c>
      <c r="D16" s="285">
        <f t="shared" si="1"/>
        <v>951.08263900414931</v>
      </c>
      <c r="E16" s="285">
        <f t="shared" si="2"/>
        <v>6550.7641825726141</v>
      </c>
    </row>
    <row r="17" spans="1:5" x14ac:dyDescent="0.25">
      <c r="A17" s="233" t="s">
        <v>161</v>
      </c>
      <c r="B17" s="538">
        <v>4876951</v>
      </c>
      <c r="C17" s="236">
        <f t="shared" si="0"/>
        <v>80.945244813278009</v>
      </c>
      <c r="D17" s="286">
        <f t="shared" si="1"/>
        <v>15027.484699585062</v>
      </c>
      <c r="E17" s="286">
        <f t="shared" si="2"/>
        <v>103504.6845427386</v>
      </c>
    </row>
    <row r="18" spans="1:5" s="239" customFormat="1" x14ac:dyDescent="0.25">
      <c r="A18" s="237" t="s">
        <v>162</v>
      </c>
      <c r="B18" s="238">
        <f>SUM(B11:B17)</f>
        <v>12827060</v>
      </c>
      <c r="C18" s="238">
        <f t="shared" si="0"/>
        <v>212.89726141078839</v>
      </c>
      <c r="D18" s="287">
        <f t="shared" si="1"/>
        <v>39524.376580912867</v>
      </c>
      <c r="E18" s="287">
        <f t="shared" si="2"/>
        <v>272231.72816597513</v>
      </c>
    </row>
    <row r="19" spans="1:5" ht="9" customHeight="1" x14ac:dyDescent="0.25">
      <c r="A19" s="227"/>
      <c r="B19" s="240"/>
      <c r="C19" s="249"/>
      <c r="D19" s="285">
        <f t="shared" si="1"/>
        <v>0</v>
      </c>
      <c r="E19" s="285">
        <f t="shared" si="2"/>
        <v>0</v>
      </c>
    </row>
    <row r="20" spans="1:5" x14ac:dyDescent="0.25">
      <c r="A20" s="227"/>
      <c r="B20" s="240"/>
      <c r="C20" s="249"/>
      <c r="D20" s="285">
        <f t="shared" si="1"/>
        <v>0</v>
      </c>
      <c r="E20" s="285">
        <f t="shared" si="2"/>
        <v>0</v>
      </c>
    </row>
    <row r="21" spans="1:5" x14ac:dyDescent="0.25">
      <c r="A21" s="226" t="s">
        <v>150</v>
      </c>
      <c r="B21" s="240"/>
      <c r="C21" s="249"/>
      <c r="D21" s="285">
        <f t="shared" si="1"/>
        <v>0</v>
      </c>
      <c r="E21" s="285">
        <f t="shared" si="2"/>
        <v>0</v>
      </c>
    </row>
    <row r="22" spans="1:5" x14ac:dyDescent="0.25">
      <c r="A22" s="233" t="s">
        <v>6</v>
      </c>
      <c r="B22" s="536">
        <v>1524108</v>
      </c>
      <c r="C22" s="234">
        <f t="shared" si="0"/>
        <v>25.296398340248963</v>
      </c>
      <c r="D22" s="285">
        <f t="shared" si="1"/>
        <v>4696.27635186722</v>
      </c>
      <c r="E22" s="285">
        <f t="shared" si="2"/>
        <v>32346.504557676351</v>
      </c>
    </row>
    <row r="23" spans="1:5" x14ac:dyDescent="0.25">
      <c r="A23" s="233" t="s">
        <v>1</v>
      </c>
      <c r="B23" s="537">
        <v>1071537</v>
      </c>
      <c r="C23" s="235">
        <f t="shared" si="0"/>
        <v>17.784846473029045</v>
      </c>
      <c r="D23" s="285">
        <f t="shared" si="1"/>
        <v>3301.7567477178422</v>
      </c>
      <c r="E23" s="285">
        <f t="shared" si="2"/>
        <v>22741.483185062239</v>
      </c>
    </row>
    <row r="24" spans="1:5" x14ac:dyDescent="0.25">
      <c r="A24" s="233" t="s">
        <v>5</v>
      </c>
      <c r="B24" s="538">
        <v>12085686</v>
      </c>
      <c r="C24" s="236">
        <f t="shared" si="0"/>
        <v>200.59229875518673</v>
      </c>
      <c r="D24" s="286">
        <f t="shared" si="1"/>
        <v>37239.960263900415</v>
      </c>
      <c r="E24" s="286">
        <f t="shared" si="2"/>
        <v>256497.37241825729</v>
      </c>
    </row>
    <row r="25" spans="1:5" s="239" customFormat="1" x14ac:dyDescent="0.25">
      <c r="A25" s="237" t="s">
        <v>162</v>
      </c>
      <c r="B25" s="241">
        <f>SUM(B22:B24)</f>
        <v>14681331</v>
      </c>
      <c r="C25" s="241">
        <f t="shared" si="0"/>
        <v>243.67354356846474</v>
      </c>
      <c r="D25" s="287">
        <f t="shared" si="1"/>
        <v>45237.993363485482</v>
      </c>
      <c r="E25" s="287">
        <f t="shared" si="2"/>
        <v>311585.36016099586</v>
      </c>
    </row>
    <row r="26" spans="1:5" s="239" customFormat="1" ht="7.5" customHeight="1" x14ac:dyDescent="0.25">
      <c r="A26" s="237"/>
      <c r="B26" s="242"/>
      <c r="C26" s="242"/>
      <c r="D26" s="285">
        <f t="shared" si="1"/>
        <v>0</v>
      </c>
      <c r="E26" s="285">
        <f t="shared" si="2"/>
        <v>0</v>
      </c>
    </row>
    <row r="27" spans="1:5" x14ac:dyDescent="0.25">
      <c r="B27" s="243"/>
      <c r="C27" s="243"/>
      <c r="D27" s="285">
        <f t="shared" si="1"/>
        <v>0</v>
      </c>
      <c r="E27" s="285">
        <f t="shared" si="2"/>
        <v>0</v>
      </c>
    </row>
    <row r="28" spans="1:5" x14ac:dyDescent="0.25">
      <c r="A28" s="226" t="s">
        <v>14</v>
      </c>
      <c r="B28" s="240"/>
      <c r="C28" s="240"/>
      <c r="D28" s="285">
        <f t="shared" si="1"/>
        <v>0</v>
      </c>
      <c r="E28" s="285">
        <f t="shared" si="2"/>
        <v>0</v>
      </c>
    </row>
    <row r="29" spans="1:5" x14ac:dyDescent="0.25">
      <c r="A29" s="233" t="s">
        <v>2</v>
      </c>
      <c r="B29" s="539">
        <v>13201831</v>
      </c>
      <c r="C29" s="244">
        <f t="shared" si="0"/>
        <v>219.11752697095434</v>
      </c>
      <c r="D29" s="285">
        <f t="shared" si="1"/>
        <v>40679.168882157675</v>
      </c>
      <c r="E29" s="285">
        <f t="shared" si="2"/>
        <v>280185.58173775935</v>
      </c>
    </row>
    <row r="30" spans="1:5" x14ac:dyDescent="0.25">
      <c r="A30" s="233" t="s">
        <v>3</v>
      </c>
      <c r="B30" s="538">
        <v>8432438</v>
      </c>
      <c r="C30" s="236">
        <f t="shared" si="0"/>
        <v>139.95747717842323</v>
      </c>
      <c r="D30" s="286">
        <f t="shared" si="1"/>
        <v>25983.105638174275</v>
      </c>
      <c r="E30" s="286">
        <f t="shared" si="2"/>
        <v>178963.62606804978</v>
      </c>
    </row>
    <row r="31" spans="1:5" s="239" customFormat="1" x14ac:dyDescent="0.25">
      <c r="A31" s="237" t="s">
        <v>162</v>
      </c>
      <c r="B31" s="245">
        <f>SUM(B29:B30)</f>
        <v>21634269</v>
      </c>
      <c r="C31" s="245">
        <f t="shared" si="0"/>
        <v>359.07500414937761</v>
      </c>
      <c r="D31" s="287">
        <f t="shared" si="1"/>
        <v>66662.27452033195</v>
      </c>
      <c r="E31" s="287">
        <f t="shared" si="2"/>
        <v>459149.20780580916</v>
      </c>
    </row>
    <row r="32" spans="1:5" s="239" customFormat="1" ht="8.25" customHeight="1" x14ac:dyDescent="0.25">
      <c r="A32" s="237"/>
      <c r="B32" s="246"/>
      <c r="C32" s="246"/>
      <c r="D32" s="285">
        <f t="shared" si="1"/>
        <v>0</v>
      </c>
      <c r="E32" s="285">
        <f t="shared" si="2"/>
        <v>0</v>
      </c>
    </row>
    <row r="33" spans="1:5" x14ac:dyDescent="0.25">
      <c r="B33" s="243"/>
      <c r="C33" s="243"/>
      <c r="D33" s="285">
        <f t="shared" si="1"/>
        <v>0</v>
      </c>
      <c r="E33" s="285">
        <f t="shared" si="2"/>
        <v>0</v>
      </c>
    </row>
    <row r="34" spans="1:5" x14ac:dyDescent="0.25">
      <c r="A34" s="226" t="s">
        <v>163</v>
      </c>
      <c r="B34" s="240"/>
      <c r="C34" s="240"/>
      <c r="D34" s="285">
        <f t="shared" si="1"/>
        <v>0</v>
      </c>
      <c r="E34" s="285">
        <f t="shared" si="2"/>
        <v>0</v>
      </c>
    </row>
    <row r="35" spans="1:5" x14ac:dyDescent="0.25">
      <c r="A35" s="233" t="s">
        <v>164</v>
      </c>
      <c r="B35" s="539">
        <v>6401924</v>
      </c>
      <c r="C35" s="244">
        <f t="shared" si="0"/>
        <v>106.256</v>
      </c>
      <c r="D35" s="285">
        <f t="shared" si="1"/>
        <v>19726.4264</v>
      </c>
      <c r="E35" s="285">
        <f t="shared" si="2"/>
        <v>135869.5472</v>
      </c>
    </row>
    <row r="36" spans="1:5" x14ac:dyDescent="0.25">
      <c r="A36" s="233" t="s">
        <v>148</v>
      </c>
      <c r="B36" s="538">
        <v>2729416</v>
      </c>
      <c r="C36" s="236">
        <f t="shared" si="0"/>
        <v>45.301510373443982</v>
      </c>
      <c r="D36" s="286">
        <f t="shared" si="1"/>
        <v>8410.2254008298751</v>
      </c>
      <c r="E36" s="286">
        <f t="shared" si="2"/>
        <v>57927.041314522823</v>
      </c>
    </row>
    <row r="37" spans="1:5" s="239" customFormat="1" x14ac:dyDescent="0.25">
      <c r="A37" s="237" t="s">
        <v>162</v>
      </c>
      <c r="B37" s="245">
        <f>SUM(B35:B36)</f>
        <v>9131340</v>
      </c>
      <c r="C37" s="245">
        <f t="shared" si="0"/>
        <v>151.55751037344399</v>
      </c>
      <c r="D37" s="287">
        <f t="shared" si="1"/>
        <v>28136.651800829877</v>
      </c>
      <c r="E37" s="287">
        <f t="shared" si="2"/>
        <v>193796.58851452282</v>
      </c>
    </row>
    <row r="38" spans="1:5" s="239" customFormat="1" ht="7.5" customHeight="1" x14ac:dyDescent="0.25">
      <c r="A38" s="237"/>
      <c r="B38" s="246"/>
      <c r="C38" s="246"/>
      <c r="D38" s="285">
        <f t="shared" si="1"/>
        <v>0</v>
      </c>
      <c r="E38" s="285">
        <f t="shared" si="2"/>
        <v>0</v>
      </c>
    </row>
    <row r="39" spans="1:5" x14ac:dyDescent="0.25">
      <c r="B39" s="243"/>
      <c r="C39" s="243"/>
      <c r="D39" s="285">
        <f t="shared" si="1"/>
        <v>0</v>
      </c>
      <c r="E39" s="285">
        <f t="shared" si="2"/>
        <v>0</v>
      </c>
    </row>
    <row r="40" spans="1:5" ht="9" customHeight="1" x14ac:dyDescent="0.25">
      <c r="A40" s="227"/>
      <c r="B40" s="240"/>
      <c r="C40" s="240"/>
      <c r="D40" s="285">
        <f t="shared" si="1"/>
        <v>0</v>
      </c>
      <c r="E40" s="285">
        <f t="shared" si="2"/>
        <v>0</v>
      </c>
    </row>
    <row r="41" spans="1:5" s="239" customFormat="1" ht="20.25" x14ac:dyDescent="0.55000000000000004">
      <c r="A41" s="226" t="s">
        <v>165</v>
      </c>
      <c r="B41" s="257">
        <f>+B37+B31+B25+B18</f>
        <v>58274000</v>
      </c>
      <c r="C41" s="257">
        <f t="shared" si="0"/>
        <v>967.20331950207469</v>
      </c>
      <c r="D41" s="290">
        <f t="shared" si="1"/>
        <v>179561.29626556017</v>
      </c>
      <c r="E41" s="290">
        <f t="shared" si="2"/>
        <v>1236762.884647303</v>
      </c>
    </row>
    <row r="42" spans="1:5" s="239" customFormat="1" x14ac:dyDescent="0.25">
      <c r="A42" s="226"/>
      <c r="B42" s="238"/>
      <c r="C42" s="238"/>
      <c r="D42" s="285">
        <f t="shared" si="1"/>
        <v>0</v>
      </c>
      <c r="E42" s="285">
        <f t="shared" si="2"/>
        <v>0</v>
      </c>
    </row>
    <row r="43" spans="1:5" s="239" customFormat="1" ht="20.25" x14ac:dyDescent="0.55000000000000004">
      <c r="A43" s="226" t="s">
        <v>178</v>
      </c>
      <c r="B43" s="238"/>
      <c r="C43" s="257">
        <f>+C41*G56</f>
        <v>127.39919114136502</v>
      </c>
      <c r="D43" s="290">
        <f t="shared" si="1"/>
        <v>23651.659835394417</v>
      </c>
      <c r="E43" s="290">
        <f t="shared" si="2"/>
        <v>162905.34571246346</v>
      </c>
    </row>
    <row r="44" spans="1:5" s="239" customFormat="1" ht="16.5" thickBot="1" x14ac:dyDescent="0.3">
      <c r="A44" s="226"/>
      <c r="B44" s="247"/>
      <c r="D44" s="285">
        <f t="shared" si="1"/>
        <v>0</v>
      </c>
      <c r="E44" s="285">
        <f t="shared" si="2"/>
        <v>0</v>
      </c>
    </row>
    <row r="45" spans="1:5" s="239" customFormat="1" ht="16.5" thickBot="1" x14ac:dyDescent="0.3">
      <c r="A45" s="258" t="s">
        <v>179</v>
      </c>
      <c r="B45" s="259"/>
      <c r="C45" s="281">
        <f>+C43+C41</f>
        <v>1094.6025106434397</v>
      </c>
      <c r="D45" s="288">
        <f t="shared" si="1"/>
        <v>203212.95610095459</v>
      </c>
      <c r="E45" s="289">
        <f t="shared" si="2"/>
        <v>1399668.2303597664</v>
      </c>
    </row>
    <row r="46" spans="1:5" s="239" customFormat="1" x14ac:dyDescent="0.25">
      <c r="A46" s="226"/>
      <c r="B46" s="247"/>
      <c r="D46" s="250"/>
    </row>
    <row r="47" spans="1:5" s="239" customFormat="1" x14ac:dyDescent="0.25">
      <c r="A47" s="226"/>
      <c r="B47" s="247"/>
      <c r="C47" s="321"/>
      <c r="D47" s="250"/>
    </row>
    <row r="48" spans="1:5" s="239" customFormat="1" x14ac:dyDescent="0.25">
      <c r="A48" s="226" t="s">
        <v>167</v>
      </c>
      <c r="B48" s="247"/>
      <c r="D48" s="250"/>
    </row>
    <row r="49" spans="1:10" s="239" customFormat="1" x14ac:dyDescent="0.25">
      <c r="A49" s="226"/>
      <c r="B49" s="251" t="s">
        <v>171</v>
      </c>
      <c r="C49" s="252" t="s">
        <v>172</v>
      </c>
      <c r="D49" s="229" t="s">
        <v>173</v>
      </c>
      <c r="E49" s="252" t="s">
        <v>174</v>
      </c>
      <c r="F49" s="252" t="s">
        <v>175</v>
      </c>
      <c r="G49" s="252" t="s">
        <v>176</v>
      </c>
    </row>
    <row r="50" spans="1:10" x14ac:dyDescent="0.25">
      <c r="A50" s="227" t="s">
        <v>220</v>
      </c>
      <c r="B50" s="540">
        <v>849856</v>
      </c>
      <c r="C50" s="541">
        <v>828500</v>
      </c>
      <c r="D50" s="541">
        <v>650000</v>
      </c>
      <c r="E50" s="541">
        <v>509824</v>
      </c>
      <c r="F50" s="541">
        <v>1237800</v>
      </c>
      <c r="G50" s="255">
        <f>SUM(B50:F50)/5</f>
        <v>815196</v>
      </c>
    </row>
    <row r="51" spans="1:10" ht="18" x14ac:dyDescent="0.4">
      <c r="A51" s="227" t="s">
        <v>0</v>
      </c>
      <c r="B51" s="542">
        <v>6860809</v>
      </c>
      <c r="C51" s="543">
        <v>7404742</v>
      </c>
      <c r="D51" s="544">
        <f>4995000+2294854</f>
        <v>7289854</v>
      </c>
      <c r="E51" s="543">
        <v>6760930</v>
      </c>
      <c r="F51" s="543">
        <v>6549000</v>
      </c>
      <c r="G51" s="256">
        <f>SUM(B51:F51)/5</f>
        <v>6973067</v>
      </c>
      <c r="H51" s="253"/>
      <c r="I51" s="253"/>
      <c r="J51" s="253"/>
    </row>
    <row r="52" spans="1:10" x14ac:dyDescent="0.25">
      <c r="A52" s="222" t="s">
        <v>168</v>
      </c>
      <c r="B52" s="254">
        <f>SUM(B50:B51)</f>
        <v>7710665</v>
      </c>
      <c r="C52" s="254">
        <f t="shared" ref="C52:G52" si="3">SUM(C50:C51)</f>
        <v>8233242</v>
      </c>
      <c r="D52" s="254">
        <f t="shared" si="3"/>
        <v>7939854</v>
      </c>
      <c r="E52" s="254">
        <f t="shared" si="3"/>
        <v>7270754</v>
      </c>
      <c r="F52" s="254">
        <f t="shared" si="3"/>
        <v>7786800</v>
      </c>
      <c r="G52" s="254">
        <f t="shared" si="3"/>
        <v>7788263</v>
      </c>
      <c r="H52" s="253"/>
      <c r="I52" s="253"/>
      <c r="J52" s="253"/>
    </row>
    <row r="53" spans="1:10" x14ac:dyDescent="0.25">
      <c r="B53" s="253"/>
      <c r="C53" s="253"/>
      <c r="D53" s="253"/>
      <c r="E53" s="253"/>
      <c r="F53" s="253"/>
      <c r="G53" s="253"/>
      <c r="H53" s="253"/>
      <c r="I53" s="253"/>
      <c r="J53" s="253"/>
    </row>
    <row r="54" spans="1:10" x14ac:dyDescent="0.25">
      <c r="A54" s="222" t="s">
        <v>177</v>
      </c>
      <c r="B54" s="254">
        <f>+B41-849856</f>
        <v>57424144</v>
      </c>
      <c r="C54" s="253">
        <f>54788500-828500</f>
        <v>53960000</v>
      </c>
      <c r="D54" s="253">
        <f>52564000-650000</f>
        <v>51914000</v>
      </c>
      <c r="E54" s="253">
        <f>50540000-509824</f>
        <v>50030176</v>
      </c>
      <c r="F54" s="253">
        <f>52604000-1237800</f>
        <v>51366200</v>
      </c>
      <c r="G54" s="253">
        <f>SUM(B54:F54)/5</f>
        <v>52938904</v>
      </c>
      <c r="H54" s="253"/>
      <c r="I54" s="253"/>
      <c r="J54" s="253"/>
    </row>
    <row r="55" spans="1:10" ht="16.5" thickBot="1" x14ac:dyDescent="0.3">
      <c r="B55" s="254"/>
      <c r="C55" s="253"/>
      <c r="D55" s="253"/>
      <c r="E55" s="253"/>
      <c r="F55" s="253"/>
      <c r="G55" s="253"/>
      <c r="H55" s="253"/>
      <c r="I55" s="253"/>
      <c r="J55" s="253"/>
    </row>
    <row r="56" spans="1:10" ht="16.5" thickBot="1" x14ac:dyDescent="0.3">
      <c r="B56" s="254"/>
      <c r="C56" s="253"/>
      <c r="D56" s="253"/>
      <c r="E56" s="262" t="s">
        <v>206</v>
      </c>
      <c r="F56" s="264"/>
      <c r="G56" s="263">
        <f>+G51/G54</f>
        <v>0.13171914174876004</v>
      </c>
      <c r="H56" s="253"/>
      <c r="I56" s="253"/>
      <c r="J56" s="253"/>
    </row>
  </sheetData>
  <mergeCells count="1">
    <mergeCell ref="A1:B1"/>
  </mergeCells>
  <pageMargins left="0.25" right="0.25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U5:W14"/>
  <sheetViews>
    <sheetView showGridLines="0" workbookViewId="0">
      <selection activeCell="H28" sqref="H28"/>
    </sheetView>
  </sheetViews>
  <sheetFormatPr defaultRowHeight="12.75" x14ac:dyDescent="0.2"/>
  <cols>
    <col min="1" max="3" width="15.7109375" customWidth="1"/>
    <col min="7" max="9" width="15.7109375" customWidth="1"/>
    <col min="13" max="15" width="15.7109375" customWidth="1"/>
    <col min="21" max="21" width="12.7109375" customWidth="1"/>
    <col min="22" max="23" width="15.7109375" customWidth="1"/>
  </cols>
  <sheetData>
    <row r="5" spans="21:23" x14ac:dyDescent="0.2">
      <c r="U5" s="566" t="s">
        <v>306</v>
      </c>
      <c r="V5" s="567"/>
      <c r="W5" s="567"/>
    </row>
    <row r="6" spans="21:23" x14ac:dyDescent="0.2">
      <c r="V6" t="s">
        <v>107</v>
      </c>
      <c r="W6" t="s">
        <v>142</v>
      </c>
    </row>
    <row r="7" spans="21:23" x14ac:dyDescent="0.2">
      <c r="U7" t="s">
        <v>284</v>
      </c>
      <c r="V7" s="548">
        <f>'Revenue and Cost Comp'!D22</f>
        <v>25622.23308502894</v>
      </c>
      <c r="W7" s="548">
        <f>'Revenue and Cost Comp'!D45</f>
        <v>128665.54657911557</v>
      </c>
    </row>
    <row r="8" spans="21:23" x14ac:dyDescent="0.2">
      <c r="U8" t="s">
        <v>302</v>
      </c>
      <c r="V8" s="548">
        <f>'Revenue and Cost Comp'!D21</f>
        <v>25622.23308502894</v>
      </c>
      <c r="W8" s="548">
        <f>'Revenue and Cost Comp'!D44</f>
        <v>128665.54657911557</v>
      </c>
    </row>
    <row r="9" spans="21:23" x14ac:dyDescent="0.2">
      <c r="U9" t="s">
        <v>7</v>
      </c>
      <c r="V9" s="548">
        <f>'Revenue and Cost Comp'!D19</f>
        <v>24064.811653238867</v>
      </c>
      <c r="W9" s="548">
        <f>'Revenue and Cost Comp'!D42</f>
        <v>157217.14802598165</v>
      </c>
    </row>
    <row r="10" spans="21:23" x14ac:dyDescent="0.2">
      <c r="U10" t="s">
        <v>14</v>
      </c>
      <c r="V10" s="548">
        <f>'Revenue and Cost Comp'!D17+'Revenue and Cost Comp'!D18</f>
        <v>102692.63720000001</v>
      </c>
      <c r="W10" s="548">
        <f>'Revenue and Cost Comp'!D40+'Revenue and Cost Comp'!D41</f>
        <v>638721.23714500002</v>
      </c>
    </row>
    <row r="11" spans="21:23" x14ac:dyDescent="0.2">
      <c r="U11" t="s">
        <v>148</v>
      </c>
      <c r="V11" s="548">
        <f>'Revenue and Cost Comp'!D16</f>
        <v>8410.2254008298751</v>
      </c>
      <c r="W11" s="548">
        <f>'Revenue and Cost Comp'!D39</f>
        <v>57927.041314522823</v>
      </c>
    </row>
    <row r="12" spans="21:23" x14ac:dyDescent="0.2">
      <c r="U12" t="s">
        <v>303</v>
      </c>
      <c r="V12" s="548">
        <f>'Revenue and Cost Comp'!D15</f>
        <v>19726.4264</v>
      </c>
      <c r="W12" s="548">
        <f>'Revenue and Cost Comp'!D38</f>
        <v>135869.5472</v>
      </c>
    </row>
    <row r="13" spans="21:23" x14ac:dyDescent="0.2">
      <c r="U13" t="s">
        <v>304</v>
      </c>
      <c r="V13" s="549">
        <f>'Revenue and Cost Comp'!D13</f>
        <v>42200</v>
      </c>
      <c r="W13" s="549">
        <f>'Revenue and Cost Comp'!D36</f>
        <v>0</v>
      </c>
    </row>
    <row r="14" spans="21:23" x14ac:dyDescent="0.2">
      <c r="U14" s="545" t="s">
        <v>305</v>
      </c>
      <c r="V14" s="547">
        <f>SUM(V7:V13)</f>
        <v>248338.56682412664</v>
      </c>
      <c r="W14" s="547">
        <f>SUM(W7:W13)</f>
        <v>1247066.0668437355</v>
      </c>
    </row>
  </sheetData>
  <mergeCells count="1">
    <mergeCell ref="U5:W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J44"/>
  <sheetViews>
    <sheetView showGridLines="0" workbookViewId="0">
      <selection activeCell="J17" sqref="J17"/>
    </sheetView>
  </sheetViews>
  <sheetFormatPr defaultColWidth="9.140625" defaultRowHeight="16.5" x14ac:dyDescent="0.3"/>
  <cols>
    <col min="1" max="1" width="7.85546875" style="15" customWidth="1"/>
    <col min="2" max="2" width="1.85546875" style="15" customWidth="1"/>
    <col min="3" max="3" width="18.140625" style="15" customWidth="1"/>
    <col min="4" max="4" width="12.5703125" style="16" customWidth="1"/>
    <col min="5" max="6" width="14.85546875" style="15" customWidth="1"/>
    <col min="7" max="7" width="17.7109375" style="15" customWidth="1"/>
    <col min="8" max="16384" width="9.140625" style="15"/>
  </cols>
  <sheetData>
    <row r="2" spans="1:7" ht="18.75" x14ac:dyDescent="0.3">
      <c r="C2" s="22" t="s">
        <v>115</v>
      </c>
      <c r="D2" s="22"/>
      <c r="E2" s="22"/>
      <c r="F2" s="22"/>
      <c r="G2" s="22"/>
    </row>
    <row r="3" spans="1:7" ht="20.25" customHeight="1" thickBot="1" x14ac:dyDescent="0.35"/>
    <row r="4" spans="1:7" ht="28.15" customHeight="1" x14ac:dyDescent="0.3">
      <c r="C4" s="553" t="s">
        <v>104</v>
      </c>
      <c r="D4" s="554"/>
      <c r="E4" s="554"/>
      <c r="F4" s="554"/>
      <c r="G4" s="555"/>
    </row>
    <row r="5" spans="1:7" ht="32.25" x14ac:dyDescent="0.3">
      <c r="A5" s="17"/>
      <c r="B5" s="17"/>
      <c r="C5" s="115" t="s">
        <v>15</v>
      </c>
      <c r="D5" s="116" t="s">
        <v>105</v>
      </c>
      <c r="E5" s="117" t="s">
        <v>16</v>
      </c>
      <c r="F5" s="124" t="s">
        <v>270</v>
      </c>
      <c r="G5" s="123" t="s">
        <v>106</v>
      </c>
    </row>
    <row r="6" spans="1:7" x14ac:dyDescent="0.3">
      <c r="A6" s="17"/>
      <c r="B6" s="17"/>
      <c r="C6" s="120" t="s">
        <v>18</v>
      </c>
      <c r="D6" s="446">
        <v>18</v>
      </c>
      <c r="E6" s="447">
        <v>327180</v>
      </c>
      <c r="F6" s="464">
        <f>+'Square Footage Values'!H10</f>
        <v>219.7447967863894</v>
      </c>
      <c r="G6" s="121">
        <f>+F6*E6</f>
        <v>71896102.612570882</v>
      </c>
    </row>
    <row r="7" spans="1:7" x14ac:dyDescent="0.3">
      <c r="A7" s="17"/>
      <c r="B7" s="17"/>
      <c r="C7" s="120" t="s">
        <v>19</v>
      </c>
      <c r="D7" s="446">
        <v>5</v>
      </c>
      <c r="E7" s="447">
        <v>242070</v>
      </c>
      <c r="F7" s="465">
        <f>+'Square Footage Values'!H31</f>
        <v>179.99376026272577</v>
      </c>
      <c r="G7" s="130">
        <f>+F7*E7</f>
        <v>43571089.546798028</v>
      </c>
    </row>
    <row r="8" spans="1:7" x14ac:dyDescent="0.3">
      <c r="A8" s="17"/>
      <c r="B8" s="17"/>
      <c r="C8" s="120" t="s">
        <v>17</v>
      </c>
      <c r="D8" s="446">
        <v>1</v>
      </c>
      <c r="E8" s="447">
        <v>112220</v>
      </c>
      <c r="F8" s="465">
        <f>+'Square Footage Values'!H18</f>
        <v>148.61652344670489</v>
      </c>
      <c r="G8" s="130">
        <f>+F8*E8</f>
        <v>16677746.261189222</v>
      </c>
    </row>
    <row r="9" spans="1:7" ht="17.25" thickBot="1" x14ac:dyDescent="0.35">
      <c r="A9" s="17"/>
      <c r="B9" s="17"/>
      <c r="C9" s="118" t="s">
        <v>81</v>
      </c>
      <c r="D9" s="448">
        <v>673</v>
      </c>
      <c r="E9" s="449">
        <v>797360</v>
      </c>
      <c r="F9" s="466">
        <f>+'Square Footage Values'!H24</f>
        <v>210.13932135728544</v>
      </c>
      <c r="G9" s="131">
        <f t="shared" ref="G9" si="0">SUM(E9*F9)</f>
        <v>167556689.27744511</v>
      </c>
    </row>
    <row r="10" spans="1:7" ht="17.25" thickBot="1" x14ac:dyDescent="0.35">
      <c r="C10" s="163" t="s">
        <v>20</v>
      </c>
      <c r="D10" s="164"/>
      <c r="E10" s="165">
        <f>SUM(E6:E9)</f>
        <v>1478830</v>
      </c>
      <c r="F10" s="166"/>
      <c r="G10" s="167">
        <f>SUM(G6:G9)</f>
        <v>299701627.69800323</v>
      </c>
    </row>
    <row r="11" spans="1:7" x14ac:dyDescent="0.3">
      <c r="D11" s="15"/>
      <c r="E11" s="64"/>
    </row>
    <row r="12" spans="1:7" ht="17.25" thickBot="1" x14ac:dyDescent="0.35">
      <c r="D12" s="15"/>
      <c r="E12" s="64"/>
    </row>
    <row r="13" spans="1:7" ht="23.25" x14ac:dyDescent="0.3">
      <c r="C13" s="556" t="s">
        <v>107</v>
      </c>
      <c r="D13" s="557"/>
      <c r="E13" s="557"/>
      <c r="F13" s="557"/>
      <c r="G13" s="558"/>
    </row>
    <row r="14" spans="1:7" ht="32.25" x14ac:dyDescent="0.3">
      <c r="C14" s="125" t="s">
        <v>15</v>
      </c>
      <c r="D14" s="126" t="s">
        <v>105</v>
      </c>
      <c r="E14" s="127" t="s">
        <v>16</v>
      </c>
      <c r="F14" s="128" t="s">
        <v>275</v>
      </c>
      <c r="G14" s="129" t="s">
        <v>106</v>
      </c>
    </row>
    <row r="15" spans="1:7" x14ac:dyDescent="0.3">
      <c r="C15" s="120" t="s">
        <v>81</v>
      </c>
      <c r="D15" s="446">
        <v>79</v>
      </c>
      <c r="E15" s="447">
        <v>252800</v>
      </c>
      <c r="F15" s="464">
        <f>+E43</f>
        <v>181.7327935222672</v>
      </c>
      <c r="G15" s="121">
        <f>+F15*E15</f>
        <v>45942050.202429146</v>
      </c>
    </row>
    <row r="16" spans="1:7" x14ac:dyDescent="0.3">
      <c r="D16" s="15"/>
      <c r="E16" s="64"/>
    </row>
    <row r="18" spans="3:5" x14ac:dyDescent="0.3">
      <c r="C18" s="403" t="s">
        <v>235</v>
      </c>
      <c r="D18" s="404"/>
      <c r="E18" s="405"/>
    </row>
    <row r="19" spans="3:5" x14ac:dyDescent="0.3">
      <c r="C19" s="405" t="s">
        <v>269</v>
      </c>
      <c r="D19" s="404"/>
      <c r="E19" s="405"/>
    </row>
    <row r="20" spans="3:5" x14ac:dyDescent="0.3">
      <c r="C20" s="405" t="s">
        <v>271</v>
      </c>
      <c r="D20" s="404"/>
      <c r="E20" s="405"/>
    </row>
    <row r="21" spans="3:5" x14ac:dyDescent="0.3">
      <c r="C21" s="405" t="s">
        <v>276</v>
      </c>
      <c r="D21" s="404"/>
      <c r="E21" s="405"/>
    </row>
    <row r="25" spans="3:5" x14ac:dyDescent="0.3">
      <c r="D25" s="137" t="s">
        <v>82</v>
      </c>
      <c r="E25" s="137"/>
    </row>
    <row r="26" spans="3:5" x14ac:dyDescent="0.3">
      <c r="D26" s="169">
        <v>3200</v>
      </c>
      <c r="E26" s="169">
        <v>649900</v>
      </c>
    </row>
    <row r="27" spans="3:5" x14ac:dyDescent="0.3">
      <c r="D27" s="169">
        <v>3300</v>
      </c>
      <c r="E27" s="169">
        <v>649900</v>
      </c>
    </row>
    <row r="28" spans="3:5" x14ac:dyDescent="0.3">
      <c r="D28" s="169">
        <v>3900</v>
      </c>
      <c r="E28" s="169">
        <v>749900</v>
      </c>
    </row>
    <row r="29" spans="3:5" x14ac:dyDescent="0.3">
      <c r="D29" s="169">
        <v>4000</v>
      </c>
      <c r="E29" s="169">
        <v>719900</v>
      </c>
    </row>
    <row r="30" spans="3:5" x14ac:dyDescent="0.3">
      <c r="D30" s="169">
        <v>4000</v>
      </c>
      <c r="E30" s="169">
        <v>729900</v>
      </c>
    </row>
    <row r="31" spans="3:5" x14ac:dyDescent="0.3">
      <c r="D31" s="169">
        <v>4325</v>
      </c>
      <c r="E31" s="169">
        <v>799900</v>
      </c>
    </row>
    <row r="32" spans="3:5" x14ac:dyDescent="0.3">
      <c r="D32" s="169">
        <v>4400</v>
      </c>
      <c r="E32" s="169">
        <v>769900</v>
      </c>
    </row>
    <row r="33" spans="3:10" x14ac:dyDescent="0.3">
      <c r="D33" s="169">
        <v>3200</v>
      </c>
      <c r="E33" s="169">
        <v>632500</v>
      </c>
    </row>
    <row r="34" spans="3:10" x14ac:dyDescent="0.3">
      <c r="D34" s="169">
        <v>4200</v>
      </c>
      <c r="E34" s="169">
        <v>659900</v>
      </c>
    </row>
    <row r="35" spans="3:10" x14ac:dyDescent="0.3">
      <c r="D35" s="169">
        <v>4000</v>
      </c>
      <c r="E35" s="169">
        <v>688500</v>
      </c>
    </row>
    <row r="36" spans="3:10" x14ac:dyDescent="0.3">
      <c r="D36" s="169">
        <v>4400</v>
      </c>
      <c r="E36" s="169">
        <v>729900</v>
      </c>
    </row>
    <row r="37" spans="3:10" x14ac:dyDescent="0.3">
      <c r="D37" s="169">
        <v>3950</v>
      </c>
      <c r="E37" s="169">
        <v>749900</v>
      </c>
    </row>
    <row r="38" spans="3:10" x14ac:dyDescent="0.3">
      <c r="D38" s="169">
        <v>4400</v>
      </c>
      <c r="E38" s="169">
        <v>769900</v>
      </c>
    </row>
    <row r="39" spans="3:10" x14ac:dyDescent="0.3">
      <c r="D39" s="169">
        <v>4300</v>
      </c>
      <c r="E39" s="169">
        <v>799900</v>
      </c>
    </row>
    <row r="40" spans="3:10" x14ac:dyDescent="0.3">
      <c r="C40" s="358" t="s">
        <v>252</v>
      </c>
      <c r="D40" s="359">
        <f>SUM(D26:D39)</f>
        <v>55575</v>
      </c>
      <c r="E40" s="360">
        <f>SUM(E26:E39)</f>
        <v>10099800</v>
      </c>
      <c r="G40" s="137" t="s">
        <v>84</v>
      </c>
    </row>
    <row r="41" spans="3:10" x14ac:dyDescent="0.3">
      <c r="C41" s="358" t="s">
        <v>253</v>
      </c>
      <c r="D41" s="359">
        <f>+D40/14</f>
        <v>3969.6428571428573</v>
      </c>
      <c r="E41" s="360">
        <f>+E40/14</f>
        <v>721414.28571428568</v>
      </c>
      <c r="G41" s="15" t="s">
        <v>87</v>
      </c>
      <c r="H41" s="15" t="s">
        <v>85</v>
      </c>
    </row>
    <row r="42" spans="3:10" x14ac:dyDescent="0.3">
      <c r="D42" s="15"/>
      <c r="G42" s="15" t="s">
        <v>88</v>
      </c>
    </row>
    <row r="43" spans="3:10" x14ac:dyDescent="0.3">
      <c r="C43" s="407" t="s">
        <v>254</v>
      </c>
      <c r="D43" s="408"/>
      <c r="E43" s="409">
        <f>+E41/D41</f>
        <v>181.7327935222672</v>
      </c>
      <c r="G43" s="15" t="s">
        <v>89</v>
      </c>
      <c r="H43" s="169">
        <f>120*150</f>
        <v>18000</v>
      </c>
      <c r="I43" s="15" t="s">
        <v>83</v>
      </c>
      <c r="J43" s="15" t="s">
        <v>86</v>
      </c>
    </row>
    <row r="44" spans="3:10" x14ac:dyDescent="0.3">
      <c r="D44" s="15"/>
    </row>
  </sheetData>
  <mergeCells count="2">
    <mergeCell ref="C4:G4"/>
    <mergeCell ref="C13:G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48"/>
  <sheetViews>
    <sheetView workbookViewId="0">
      <selection activeCell="H18" sqref="H18"/>
    </sheetView>
  </sheetViews>
  <sheetFormatPr defaultRowHeight="12.75" x14ac:dyDescent="0.2"/>
  <cols>
    <col min="1" max="1" width="5.42578125" customWidth="1"/>
    <col min="2" max="2" width="26.7109375" customWidth="1"/>
    <col min="3" max="3" width="12.140625" customWidth="1"/>
    <col min="4" max="4" width="16.85546875" bestFit="1" customWidth="1"/>
    <col min="5" max="5" width="7.5703125" customWidth="1"/>
    <col min="6" max="6" width="12.28515625" customWidth="1"/>
    <col min="7" max="7" width="6" customWidth="1"/>
    <col min="8" max="8" width="14.7109375" bestFit="1" customWidth="1"/>
    <col min="9" max="9" width="20.140625" customWidth="1"/>
  </cols>
  <sheetData>
    <row r="1" spans="1:8" ht="14.25" customHeight="1" x14ac:dyDescent="0.2"/>
    <row r="3" spans="1:8" ht="15.75" x14ac:dyDescent="0.25">
      <c r="B3" s="559" t="s">
        <v>59</v>
      </c>
      <c r="C3" s="560"/>
      <c r="D3" s="560"/>
      <c r="E3" s="560"/>
      <c r="F3" s="560"/>
      <c r="G3" s="560"/>
      <c r="H3" s="561"/>
    </row>
    <row r="4" spans="1:8" ht="16.5" thickBot="1" x14ac:dyDescent="0.3">
      <c r="A4" s="19"/>
    </row>
    <row r="5" spans="1:8" ht="16.5" thickBot="1" x14ac:dyDescent="0.3">
      <c r="A5" s="19"/>
      <c r="B5" s="562" t="s">
        <v>60</v>
      </c>
      <c r="C5" s="563"/>
      <c r="D5" s="563"/>
      <c r="E5" s="563"/>
      <c r="F5" s="563"/>
      <c r="G5" s="563"/>
      <c r="H5" s="564"/>
    </row>
    <row r="6" spans="1:8" ht="15.75" x14ac:dyDescent="0.25">
      <c r="A6" s="19"/>
      <c r="B6" s="77" t="s">
        <v>61</v>
      </c>
      <c r="C6" s="77"/>
      <c r="D6" s="78" t="s">
        <v>62</v>
      </c>
      <c r="E6" s="78"/>
      <c r="F6" s="78" t="s">
        <v>63</v>
      </c>
      <c r="G6" s="78"/>
      <c r="H6" s="78" t="s">
        <v>64</v>
      </c>
    </row>
    <row r="7" spans="1:8" ht="15.75" x14ac:dyDescent="0.25">
      <c r="A7" s="19"/>
      <c r="B7" s="19" t="s">
        <v>65</v>
      </c>
      <c r="C7" s="19"/>
      <c r="D7" s="467">
        <v>28368079</v>
      </c>
      <c r="E7" s="468"/>
      <c r="F7" s="469">
        <v>96000</v>
      </c>
      <c r="G7" s="20"/>
      <c r="H7" s="79">
        <f>SUM(D7/F7)</f>
        <v>295.50082291666666</v>
      </c>
    </row>
    <row r="8" spans="1:8" ht="15.75" x14ac:dyDescent="0.25">
      <c r="A8" s="19"/>
      <c r="B8" s="19" t="s">
        <v>66</v>
      </c>
      <c r="C8" s="19"/>
      <c r="D8" s="470">
        <v>7358220</v>
      </c>
      <c r="E8" s="468"/>
      <c r="F8" s="469">
        <v>60000</v>
      </c>
      <c r="G8" s="20"/>
      <c r="H8" s="81">
        <f>SUM(D8/F8)</f>
        <v>122.637</v>
      </c>
    </row>
    <row r="9" spans="1:8" ht="15.75" x14ac:dyDescent="0.25">
      <c r="A9" s="19"/>
      <c r="B9" s="19" t="s">
        <v>67</v>
      </c>
      <c r="C9" s="19"/>
      <c r="D9" s="471">
        <v>10771700</v>
      </c>
      <c r="E9" s="472"/>
      <c r="F9" s="473">
        <v>55600</v>
      </c>
      <c r="G9" s="83"/>
      <c r="H9" s="82">
        <f>SUM(D9/F9)</f>
        <v>193.73561151079136</v>
      </c>
    </row>
    <row r="10" spans="1:8" ht="15.75" x14ac:dyDescent="0.25">
      <c r="A10" s="19"/>
      <c r="B10" s="77"/>
      <c r="C10" s="84" t="s">
        <v>8</v>
      </c>
      <c r="D10" s="85">
        <f>SUM(D7:D9)</f>
        <v>46497999</v>
      </c>
      <c r="E10" s="24"/>
      <c r="F10" s="86">
        <f>SUM(F7:F9)</f>
        <v>211600</v>
      </c>
      <c r="G10" s="24"/>
      <c r="H10" s="85">
        <f>+D10/F10</f>
        <v>219.7447967863894</v>
      </c>
    </row>
    <row r="11" spans="1:8" ht="16.5" thickBot="1" x14ac:dyDescent="0.3">
      <c r="A11" s="19"/>
      <c r="B11" s="77"/>
      <c r="C11" s="84"/>
      <c r="D11" s="85"/>
      <c r="E11" s="24"/>
      <c r="F11" s="86"/>
      <c r="G11" s="24"/>
      <c r="H11" s="87"/>
    </row>
    <row r="12" spans="1:8" ht="16.5" thickBot="1" x14ac:dyDescent="0.3">
      <c r="A12" s="19"/>
      <c r="B12" s="562" t="s">
        <v>68</v>
      </c>
      <c r="C12" s="563"/>
      <c r="D12" s="563"/>
      <c r="E12" s="563"/>
      <c r="F12" s="563"/>
      <c r="G12" s="563"/>
      <c r="H12" s="564"/>
    </row>
    <row r="13" spans="1:8" ht="15.75" x14ac:dyDescent="0.25">
      <c r="A13" s="19"/>
      <c r="B13" s="77" t="s">
        <v>61</v>
      </c>
      <c r="C13" s="77"/>
      <c r="D13" s="78" t="s">
        <v>62</v>
      </c>
      <c r="E13" s="78"/>
      <c r="F13" s="78" t="s">
        <v>63</v>
      </c>
      <c r="G13" s="78"/>
      <c r="H13" s="78" t="s">
        <v>64</v>
      </c>
    </row>
    <row r="14" spans="1:8" ht="15.75" x14ac:dyDescent="0.25">
      <c r="A14" s="19"/>
      <c r="B14" s="19" t="s">
        <v>69</v>
      </c>
      <c r="C14" s="19"/>
      <c r="D14" s="467">
        <v>6600000</v>
      </c>
      <c r="E14" s="468"/>
      <c r="F14" s="469">
        <v>56000</v>
      </c>
      <c r="G14" s="20"/>
      <c r="H14" s="88">
        <f>SUM(D14/F14)</f>
        <v>117.85714285714286</v>
      </c>
    </row>
    <row r="15" spans="1:8" ht="15.75" x14ac:dyDescent="0.25">
      <c r="A15" s="19"/>
      <c r="B15" s="19" t="s">
        <v>70</v>
      </c>
      <c r="C15" s="19"/>
      <c r="D15" s="470">
        <v>22000000</v>
      </c>
      <c r="E15" s="468"/>
      <c r="F15" s="469">
        <v>119000</v>
      </c>
      <c r="G15" s="20"/>
      <c r="H15" s="80">
        <f>SUM(D15/F15)</f>
        <v>184.87394957983193</v>
      </c>
    </row>
    <row r="16" spans="1:8" ht="15.75" x14ac:dyDescent="0.25">
      <c r="A16" s="19"/>
      <c r="B16" s="19" t="s">
        <v>71</v>
      </c>
      <c r="C16" s="19"/>
      <c r="D16" s="470">
        <v>9000000</v>
      </c>
      <c r="E16" s="468"/>
      <c r="F16" s="469">
        <v>82000</v>
      </c>
      <c r="G16" s="20"/>
      <c r="H16" s="80">
        <f>SUM(D16/F16)</f>
        <v>109.7560975609756</v>
      </c>
    </row>
    <row r="17" spans="1:9" ht="18" x14ac:dyDescent="0.4">
      <c r="A17" s="19"/>
      <c r="B17" s="19" t="s">
        <v>72</v>
      </c>
      <c r="C17" s="19"/>
      <c r="D17" s="474">
        <v>9700924</v>
      </c>
      <c r="E17" s="468"/>
      <c r="F17" s="475">
        <v>61275</v>
      </c>
      <c r="G17" s="20"/>
      <c r="H17" s="89">
        <f>SUM(D17/F17)</f>
        <v>158.31781313749491</v>
      </c>
    </row>
    <row r="18" spans="1:9" ht="15.75" x14ac:dyDescent="0.25">
      <c r="A18" s="19"/>
      <c r="B18" s="77"/>
      <c r="C18" s="84" t="s">
        <v>8</v>
      </c>
      <c r="D18" s="90">
        <f>SUM(D14:D17)</f>
        <v>47300924</v>
      </c>
      <c r="E18" s="24"/>
      <c r="F18" s="86">
        <f>SUM(F14:F17)</f>
        <v>318275</v>
      </c>
      <c r="G18" s="24"/>
      <c r="H18" s="85">
        <f>+D18/F18</f>
        <v>148.61652344670489</v>
      </c>
    </row>
    <row r="19" spans="1:9" ht="16.5" thickBot="1" x14ac:dyDescent="0.3">
      <c r="A19" s="19"/>
      <c r="B19" s="77"/>
      <c r="C19" s="84"/>
      <c r="D19" s="90"/>
      <c r="E19" s="24"/>
      <c r="F19" s="86"/>
      <c r="G19" s="24"/>
      <c r="H19" s="91"/>
    </row>
    <row r="20" spans="1:9" s="92" customFormat="1" ht="19.5" thickBot="1" x14ac:dyDescent="0.35">
      <c r="A20" s="19"/>
      <c r="B20" s="562" t="s">
        <v>73</v>
      </c>
      <c r="C20" s="563"/>
      <c r="D20" s="563"/>
      <c r="E20" s="563"/>
      <c r="F20" s="563"/>
      <c r="G20" s="563"/>
      <c r="H20" s="564"/>
    </row>
    <row r="21" spans="1:9" s="92" customFormat="1" ht="18.75" x14ac:dyDescent="0.3">
      <c r="A21" s="19"/>
      <c r="B21" s="77" t="s">
        <v>61</v>
      </c>
      <c r="C21" s="77"/>
      <c r="D21" s="78" t="s">
        <v>62</v>
      </c>
      <c r="E21" s="78"/>
      <c r="F21" s="78" t="s">
        <v>63</v>
      </c>
      <c r="G21" s="78"/>
      <c r="H21" s="78" t="s">
        <v>64</v>
      </c>
      <c r="I21"/>
    </row>
    <row r="22" spans="1:9" ht="15.75" x14ac:dyDescent="0.25">
      <c r="A22" s="19"/>
      <c r="B22" s="19" t="s">
        <v>74</v>
      </c>
      <c r="C22" s="19"/>
      <c r="D22" s="467">
        <v>59766500</v>
      </c>
      <c r="E22" s="468"/>
      <c r="F22" s="469">
        <v>216000</v>
      </c>
      <c r="G22" s="20"/>
      <c r="H22" s="93">
        <f>SUM(D22/F22)</f>
        <v>276.69675925925924</v>
      </c>
    </row>
    <row r="23" spans="1:9" ht="15.75" x14ac:dyDescent="0.25">
      <c r="A23" s="19"/>
      <c r="B23" s="19" t="s">
        <v>75</v>
      </c>
      <c r="C23" s="19"/>
      <c r="D23" s="471">
        <v>45513300</v>
      </c>
      <c r="E23" s="472"/>
      <c r="F23" s="473">
        <v>285000</v>
      </c>
      <c r="G23" s="83"/>
      <c r="H23" s="82">
        <f>SUM(D23/F23)</f>
        <v>159.69578947368421</v>
      </c>
    </row>
    <row r="24" spans="1:9" ht="15.75" x14ac:dyDescent="0.25">
      <c r="A24" s="19"/>
      <c r="B24" s="77"/>
      <c r="C24" s="84" t="s">
        <v>8</v>
      </c>
      <c r="D24" s="90">
        <f>SUM(D22:D23)</f>
        <v>105279800</v>
      </c>
      <c r="E24" s="24"/>
      <c r="F24" s="86">
        <f>SUM(F22:F23)</f>
        <v>501000</v>
      </c>
      <c r="G24" s="24"/>
      <c r="H24" s="85">
        <f>+D24/F24</f>
        <v>210.13932135728544</v>
      </c>
    </row>
    <row r="25" spans="1:9" ht="16.5" thickBot="1" x14ac:dyDescent="0.3">
      <c r="A25" s="19"/>
      <c r="B25" s="77"/>
      <c r="C25" s="84"/>
      <c r="D25" s="90"/>
      <c r="E25" s="24"/>
      <c r="F25" s="86"/>
      <c r="G25" s="24"/>
      <c r="H25" s="87"/>
    </row>
    <row r="26" spans="1:9" ht="16.5" thickBot="1" x14ac:dyDescent="0.3">
      <c r="A26" s="19"/>
      <c r="B26" s="562" t="s">
        <v>76</v>
      </c>
      <c r="C26" s="563"/>
      <c r="D26" s="563"/>
      <c r="E26" s="563"/>
      <c r="F26" s="563"/>
      <c r="G26" s="563"/>
      <c r="H26" s="564"/>
    </row>
    <row r="27" spans="1:9" ht="15.75" x14ac:dyDescent="0.25">
      <c r="A27" s="19"/>
      <c r="B27" s="77" t="s">
        <v>61</v>
      </c>
      <c r="C27" s="77"/>
      <c r="D27" s="78" t="s">
        <v>62</v>
      </c>
      <c r="E27" s="78"/>
      <c r="F27" s="78" t="s">
        <v>63</v>
      </c>
      <c r="G27" s="78"/>
      <c r="H27" s="78" t="s">
        <v>64</v>
      </c>
    </row>
    <row r="28" spans="1:9" ht="15.75" x14ac:dyDescent="0.25">
      <c r="A28" s="19"/>
      <c r="B28" s="19" t="s">
        <v>77</v>
      </c>
      <c r="C28" s="19"/>
      <c r="D28" s="467">
        <v>10200000</v>
      </c>
      <c r="E28" s="468"/>
      <c r="F28" s="469">
        <v>50000</v>
      </c>
      <c r="G28" s="20"/>
      <c r="H28" s="79">
        <f>SUM(D28/F28)</f>
        <v>204</v>
      </c>
    </row>
    <row r="29" spans="1:9" ht="15.75" x14ac:dyDescent="0.25">
      <c r="A29" s="19"/>
      <c r="B29" s="19" t="s">
        <v>78</v>
      </c>
      <c r="C29" s="19"/>
      <c r="D29" s="470">
        <v>21600000</v>
      </c>
      <c r="E29" s="468"/>
      <c r="F29" s="469">
        <v>140000</v>
      </c>
      <c r="G29" s="20"/>
      <c r="H29" s="81">
        <f>SUM(D29/F29)</f>
        <v>154.28571428571428</v>
      </c>
    </row>
    <row r="30" spans="1:9" ht="18" x14ac:dyDescent="0.4">
      <c r="A30" s="19"/>
      <c r="B30" s="19" t="s">
        <v>67</v>
      </c>
      <c r="C30" s="19"/>
      <c r="D30" s="471">
        <v>23008100</v>
      </c>
      <c r="E30" s="468"/>
      <c r="F30" s="475">
        <v>114500</v>
      </c>
      <c r="G30" s="20"/>
      <c r="H30" s="82">
        <f>SUM(D30/F30)</f>
        <v>200.94410480349345</v>
      </c>
    </row>
    <row r="31" spans="1:9" ht="15.75" x14ac:dyDescent="0.25">
      <c r="A31" s="19"/>
      <c r="B31" s="19"/>
      <c r="C31" s="84" t="s">
        <v>8</v>
      </c>
      <c r="D31" s="85">
        <f>SUM(D28:D30)</f>
        <v>54808100</v>
      </c>
      <c r="E31" s="24"/>
      <c r="F31" s="86">
        <f>SUM(F28:F30)</f>
        <v>304500</v>
      </c>
      <c r="G31" s="24"/>
      <c r="H31" s="85">
        <f>+D31/F31</f>
        <v>179.99376026272577</v>
      </c>
    </row>
    <row r="32" spans="1:9" ht="15.75" x14ac:dyDescent="0.25">
      <c r="A32" s="19"/>
      <c r="B32" s="77"/>
      <c r="C32" s="19"/>
      <c r="D32" s="20"/>
      <c r="E32" s="20"/>
      <c r="F32" s="78"/>
      <c r="G32" s="20"/>
      <c r="H32" s="94"/>
    </row>
    <row r="33" spans="1:8" s="96" customFormat="1" ht="15.75" x14ac:dyDescent="0.25">
      <c r="A33" s="95"/>
      <c r="B33" s="95"/>
      <c r="C33" s="95"/>
      <c r="D33" s="95"/>
      <c r="E33" s="95"/>
      <c r="F33" s="95"/>
      <c r="G33" s="95"/>
      <c r="H33" s="95"/>
    </row>
    <row r="34" spans="1:8" ht="15.75" x14ac:dyDescent="0.25">
      <c r="A34" s="19"/>
    </row>
    <row r="35" spans="1:8" ht="15.75" x14ac:dyDescent="0.25">
      <c r="A35" s="19"/>
      <c r="B35" s="399" t="s">
        <v>235</v>
      </c>
      <c r="C35" s="4"/>
      <c r="D35" s="4"/>
    </row>
    <row r="36" spans="1:8" ht="15.75" x14ac:dyDescent="0.25">
      <c r="A36" s="19"/>
      <c r="B36" s="4" t="s">
        <v>272</v>
      </c>
      <c r="C36" s="4"/>
      <c r="D36" s="4"/>
    </row>
    <row r="37" spans="1:8" ht="15" x14ac:dyDescent="0.2">
      <c r="B37" s="4"/>
      <c r="C37" s="4"/>
      <c r="D37" s="4"/>
    </row>
    <row r="38" spans="1:8" ht="15" x14ac:dyDescent="0.2">
      <c r="B38" s="4"/>
      <c r="C38" s="4"/>
      <c r="D38" s="4"/>
    </row>
    <row r="43" spans="1:8" x14ac:dyDescent="0.2">
      <c r="D43" s="18"/>
      <c r="E43" s="18"/>
      <c r="F43" s="18"/>
      <c r="G43" s="18"/>
      <c r="H43" s="18"/>
    </row>
    <row r="44" spans="1:8" x14ac:dyDescent="0.2">
      <c r="D44" s="18"/>
      <c r="E44" s="18"/>
      <c r="F44" s="18"/>
      <c r="G44" s="18"/>
      <c r="H44" s="18"/>
    </row>
    <row r="45" spans="1:8" x14ac:dyDescent="0.2">
      <c r="D45" s="18"/>
      <c r="E45" s="18"/>
      <c r="F45" s="18"/>
      <c r="G45" s="18"/>
      <c r="H45" s="18"/>
    </row>
    <row r="46" spans="1:8" x14ac:dyDescent="0.2">
      <c r="D46" s="18"/>
      <c r="E46" s="18"/>
      <c r="F46" s="27"/>
      <c r="G46" s="18"/>
      <c r="H46" s="18"/>
    </row>
    <row r="47" spans="1:8" x14ac:dyDescent="0.2">
      <c r="D47" s="18"/>
      <c r="E47" s="18"/>
      <c r="F47" s="18"/>
      <c r="G47" s="18"/>
      <c r="H47" s="18"/>
    </row>
    <row r="48" spans="1:8" x14ac:dyDescent="0.2">
      <c r="D48" s="18"/>
      <c r="E48" s="18"/>
      <c r="F48" s="18"/>
      <c r="G48" s="18"/>
      <c r="H48" s="18"/>
    </row>
  </sheetData>
  <mergeCells count="5">
    <mergeCell ref="B3:H3"/>
    <mergeCell ref="B5:H5"/>
    <mergeCell ref="B12:H12"/>
    <mergeCell ref="B20:H20"/>
    <mergeCell ref="B26:H26"/>
  </mergeCells>
  <pageMargins left="0.7" right="0.7" top="0.75" bottom="0.75" header="0.3" footer="0.3"/>
  <pageSetup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2"/>
  <sheetViews>
    <sheetView showGridLines="0" topLeftCell="A8" workbookViewId="0">
      <selection activeCell="C14" sqref="C14:D14"/>
    </sheetView>
  </sheetViews>
  <sheetFormatPr defaultColWidth="9.140625" defaultRowHeight="16.5" x14ac:dyDescent="0.3"/>
  <cols>
    <col min="1" max="1" width="7.85546875" style="15" customWidth="1"/>
    <col min="2" max="2" width="1.85546875" style="15" customWidth="1"/>
    <col min="3" max="3" width="24.5703125" style="15" customWidth="1"/>
    <col min="4" max="4" width="18.85546875" style="15" customWidth="1"/>
    <col min="5" max="7" width="18.42578125" style="15" customWidth="1"/>
    <col min="8" max="16384" width="9.140625" style="15"/>
  </cols>
  <sheetData>
    <row r="2" spans="1:7" ht="19.899999999999999" customHeight="1" x14ac:dyDescent="0.35">
      <c r="C2" s="132" t="s">
        <v>139</v>
      </c>
    </row>
    <row r="3" spans="1:7" ht="11.45" customHeight="1" thickBot="1" x14ac:dyDescent="0.35"/>
    <row r="4" spans="1:7" ht="28.15" customHeight="1" x14ac:dyDescent="0.3">
      <c r="C4" s="109" t="s">
        <v>142</v>
      </c>
      <c r="D4" s="110"/>
      <c r="E4" s="133"/>
      <c r="F4" s="133"/>
      <c r="G4" s="134"/>
    </row>
    <row r="5" spans="1:7" ht="33" thickBot="1" x14ac:dyDescent="0.35">
      <c r="A5" s="17"/>
      <c r="B5" s="17"/>
      <c r="C5" s="111" t="s">
        <v>15</v>
      </c>
      <c r="D5" s="112" t="s">
        <v>106</v>
      </c>
      <c r="E5" s="135" t="s">
        <v>186</v>
      </c>
      <c r="F5" s="135" t="s">
        <v>109</v>
      </c>
      <c r="G5" s="136" t="s">
        <v>110</v>
      </c>
    </row>
    <row r="6" spans="1:7" x14ac:dyDescent="0.3">
      <c r="A6" s="17"/>
      <c r="B6" s="17"/>
      <c r="C6" s="119" t="s">
        <v>18</v>
      </c>
      <c r="D6" s="476">
        <f>+'Prelim Development Assumptions'!G6</f>
        <v>71896102.612570882</v>
      </c>
      <c r="E6" s="172">
        <f>+D6*$E$20</f>
        <v>376735.57768987142</v>
      </c>
      <c r="F6" s="172">
        <f>+D6*$F$20</f>
        <v>628371.93683386943</v>
      </c>
      <c r="G6" s="173">
        <f>+D6*$G$20</f>
        <v>149831.47784459771</v>
      </c>
    </row>
    <row r="7" spans="1:7" x14ac:dyDescent="0.3">
      <c r="A7" s="17"/>
      <c r="B7" s="17"/>
      <c r="C7" s="120" t="s">
        <v>19</v>
      </c>
      <c r="D7" s="465">
        <f>+'Prelim Development Assumptions'!G7</f>
        <v>43571089.546798028</v>
      </c>
      <c r="E7" s="174">
        <f>+D7*$E$20</f>
        <v>228312.50922522167</v>
      </c>
      <c r="F7" s="174">
        <f>+D7*$F$20</f>
        <v>380811.32263901475</v>
      </c>
      <c r="G7" s="175">
        <f>+D7*$G$20</f>
        <v>90802.150615527091</v>
      </c>
    </row>
    <row r="8" spans="1:7" x14ac:dyDescent="0.3">
      <c r="A8" s="17"/>
      <c r="B8" s="17"/>
      <c r="C8" s="120" t="s">
        <v>17</v>
      </c>
      <c r="D8" s="465">
        <f>+'Prelim Development Assumptions'!G8</f>
        <v>16677746.261189222</v>
      </c>
      <c r="E8" s="174">
        <f>+D8*$E$20</f>
        <v>87391.390408631516</v>
      </c>
      <c r="F8" s="174">
        <f>+D8*$F$20</f>
        <v>145763.50232279379</v>
      </c>
      <c r="G8" s="175">
        <f>+D8*$G$20</f>
        <v>34756.423208318338</v>
      </c>
    </row>
    <row r="9" spans="1:7" x14ac:dyDescent="0.3">
      <c r="A9" s="17"/>
      <c r="B9" s="17"/>
      <c r="C9" s="120" t="s">
        <v>81</v>
      </c>
      <c r="D9" s="465">
        <f>+'Prelim Development Assumptions'!G9</f>
        <v>167556689.27744511</v>
      </c>
      <c r="E9" s="176">
        <f>+D9*$E$20</f>
        <v>877997.05181381234</v>
      </c>
      <c r="F9" s="176">
        <f>+D9*$F$20</f>
        <v>1464445.4642848701</v>
      </c>
      <c r="G9" s="177">
        <f>+D9*$G$20</f>
        <v>349188.14045419561</v>
      </c>
    </row>
    <row r="10" spans="1:7" ht="17.25" thickBot="1" x14ac:dyDescent="0.35">
      <c r="A10" s="17"/>
      <c r="B10" s="17"/>
      <c r="C10" s="113" t="s">
        <v>123</v>
      </c>
      <c r="D10" s="114"/>
      <c r="E10" s="178">
        <v>0</v>
      </c>
      <c r="F10" s="477">
        <f>+F27</f>
        <v>62816.88</v>
      </c>
      <c r="G10" s="477">
        <f>+G27</f>
        <v>14198</v>
      </c>
    </row>
    <row r="11" spans="1:7" ht="17.25" thickBot="1" x14ac:dyDescent="0.35">
      <c r="C11" s="163" t="s">
        <v>20</v>
      </c>
      <c r="D11" s="139">
        <f>+'Prelim Development Assumptions'!G10</f>
        <v>299701627.69800323</v>
      </c>
      <c r="E11" s="168">
        <f>SUM(E6:E9)</f>
        <v>1570436.5291375369</v>
      </c>
      <c r="F11" s="168">
        <f>SUM(F6:F9)-F10</f>
        <v>2556575.3460805481</v>
      </c>
      <c r="G11" s="167">
        <f>SUM(G6:G9)-G10</f>
        <v>610380.19212263869</v>
      </c>
    </row>
    <row r="13" spans="1:7" ht="17.25" thickBot="1" x14ac:dyDescent="0.35"/>
    <row r="14" spans="1:7" ht="23.25" x14ac:dyDescent="0.3">
      <c r="C14" s="556" t="s">
        <v>107</v>
      </c>
      <c r="D14" s="557"/>
      <c r="E14" s="140"/>
      <c r="F14" s="140"/>
      <c r="G14" s="141"/>
    </row>
    <row r="15" spans="1:7" ht="32.25" x14ac:dyDescent="0.3">
      <c r="C15" s="125" t="s">
        <v>15</v>
      </c>
      <c r="D15" s="126" t="s">
        <v>106</v>
      </c>
      <c r="E15" s="170" t="s">
        <v>186</v>
      </c>
      <c r="F15" s="170" t="s">
        <v>109</v>
      </c>
      <c r="G15" s="171" t="s">
        <v>110</v>
      </c>
    </row>
    <row r="16" spans="1:7" x14ac:dyDescent="0.3">
      <c r="C16" s="120" t="s">
        <v>81</v>
      </c>
      <c r="D16" s="138">
        <f>+'Prelim Development Assumptions'!G15</f>
        <v>45942050.202429146</v>
      </c>
      <c r="E16" s="179">
        <f>+D16*$E$20</f>
        <v>240736.34306072872</v>
      </c>
      <c r="F16" s="179">
        <f>+D16*$F$20</f>
        <v>401533.51876923069</v>
      </c>
      <c r="G16" s="180">
        <f>+D16*$G$20</f>
        <v>95743.232621862335</v>
      </c>
    </row>
    <row r="17" spans="3:7" ht="17.25" thickBot="1" x14ac:dyDescent="0.35">
      <c r="C17" s="113" t="s">
        <v>123</v>
      </c>
      <c r="D17" s="114"/>
      <c r="E17" s="178">
        <v>0</v>
      </c>
      <c r="F17" s="477">
        <f>+F27</f>
        <v>62816.88</v>
      </c>
      <c r="G17" s="477">
        <f>+G27</f>
        <v>14198</v>
      </c>
    </row>
    <row r="18" spans="3:7" ht="17.25" thickBot="1" x14ac:dyDescent="0.35">
      <c r="C18" s="163" t="s">
        <v>20</v>
      </c>
      <c r="D18" s="139">
        <f>+'Prelim Development Assumptions'!G18</f>
        <v>0</v>
      </c>
      <c r="E18" s="168">
        <f>SUM(E14:E16)</f>
        <v>240736.34306072872</v>
      </c>
      <c r="F18" s="168">
        <f>+F16-F17</f>
        <v>338716.63876923069</v>
      </c>
      <c r="G18" s="167">
        <f>+G16-G17</f>
        <v>81545.232621862335</v>
      </c>
    </row>
    <row r="20" spans="3:7" x14ac:dyDescent="0.3">
      <c r="C20" s="413" t="s">
        <v>277</v>
      </c>
      <c r="D20" s="412"/>
      <c r="E20" s="485">
        <v>5.2399999999999999E-3</v>
      </c>
      <c r="F20" s="485">
        <v>8.7399999999999995E-3</v>
      </c>
      <c r="G20" s="486">
        <v>2.0839999999999999E-3</v>
      </c>
    </row>
    <row r="21" spans="3:7" ht="17.25" thickBot="1" x14ac:dyDescent="0.35"/>
    <row r="22" spans="3:7" x14ac:dyDescent="0.3">
      <c r="C22" s="351" t="s">
        <v>246</v>
      </c>
      <c r="D22" s="352"/>
      <c r="E22" s="352"/>
      <c r="F22" s="352"/>
      <c r="G22" s="353"/>
    </row>
    <row r="23" spans="3:7" x14ac:dyDescent="0.3">
      <c r="C23" s="354"/>
      <c r="F23" s="16" t="s">
        <v>22</v>
      </c>
      <c r="G23" s="355" t="s">
        <v>108</v>
      </c>
    </row>
    <row r="24" spans="3:7" x14ac:dyDescent="0.3">
      <c r="C24" s="354" t="s">
        <v>120</v>
      </c>
      <c r="F24" s="478">
        <v>33635.81</v>
      </c>
      <c r="G24" s="479">
        <v>7983.72</v>
      </c>
    </row>
    <row r="25" spans="3:7" x14ac:dyDescent="0.3">
      <c r="C25" s="354" t="s">
        <v>121</v>
      </c>
      <c r="F25" s="480">
        <v>1433.85</v>
      </c>
      <c r="G25" s="481">
        <v>340.34</v>
      </c>
    </row>
    <row r="26" spans="3:7" x14ac:dyDescent="0.3">
      <c r="C26" s="354" t="s">
        <v>122</v>
      </c>
      <c r="F26" s="480">
        <v>27747.22</v>
      </c>
      <c r="G26" s="481">
        <v>5873.94</v>
      </c>
    </row>
    <row r="27" spans="3:7" ht="17.25" thickBot="1" x14ac:dyDescent="0.35">
      <c r="C27" s="356"/>
      <c r="D27" s="357"/>
      <c r="E27" s="482" t="s">
        <v>8</v>
      </c>
      <c r="F27" s="483">
        <f>SUM(F24:F26)</f>
        <v>62816.88</v>
      </c>
      <c r="G27" s="484">
        <f>SUM(G24:G26)</f>
        <v>14198</v>
      </c>
    </row>
    <row r="29" spans="3:7" x14ac:dyDescent="0.3">
      <c r="C29" s="403" t="s">
        <v>235</v>
      </c>
      <c r="D29" s="406"/>
      <c r="E29" s="406"/>
    </row>
    <row r="30" spans="3:7" x14ac:dyDescent="0.3">
      <c r="C30" s="406" t="s">
        <v>247</v>
      </c>
      <c r="D30" s="406"/>
      <c r="E30" s="406"/>
    </row>
    <row r="31" spans="3:7" x14ac:dyDescent="0.3">
      <c r="C31" s="406" t="s">
        <v>273</v>
      </c>
      <c r="D31" s="406"/>
      <c r="E31" s="406"/>
    </row>
    <row r="32" spans="3:7" x14ac:dyDescent="0.3">
      <c r="C32" s="406" t="s">
        <v>274</v>
      </c>
      <c r="D32" s="406"/>
      <c r="E32" s="406"/>
    </row>
  </sheetData>
  <mergeCells count="1">
    <mergeCell ref="C14:D14"/>
  </mergeCells>
  <pageMargins left="0.7" right="0.7" top="0.75" bottom="0.75" header="0.3" footer="0.3"/>
  <pageSetup orientation="landscape" r:id="rId1"/>
  <headerFooter>
    <oddHeader>&amp;CDRAFT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2"/>
  <sheetViews>
    <sheetView showGridLines="0" topLeftCell="A11" workbookViewId="0">
      <selection activeCell="H30" sqref="H30"/>
    </sheetView>
  </sheetViews>
  <sheetFormatPr defaultColWidth="9.140625" defaultRowHeight="16.5" x14ac:dyDescent="0.3"/>
  <cols>
    <col min="1" max="1" width="7.85546875" style="15" customWidth="1"/>
    <col min="2" max="2" width="1.85546875" style="15" customWidth="1"/>
    <col min="3" max="3" width="18.140625" style="15" customWidth="1"/>
    <col min="4" max="4" width="12.5703125" style="16" customWidth="1"/>
    <col min="5" max="6" width="14.85546875" style="15" customWidth="1"/>
    <col min="7" max="7" width="17.7109375" style="15" customWidth="1"/>
    <col min="8" max="16384" width="9.140625" style="15"/>
  </cols>
  <sheetData>
    <row r="2" spans="1:7" ht="23.25" x14ac:dyDescent="0.35">
      <c r="C2" s="132" t="s">
        <v>140</v>
      </c>
      <c r="D2" s="22"/>
      <c r="E2" s="22"/>
      <c r="F2" s="22"/>
      <c r="G2" s="22"/>
    </row>
    <row r="3" spans="1:7" ht="6" customHeight="1" thickBot="1" x14ac:dyDescent="0.35"/>
    <row r="4" spans="1:7" ht="28.15" customHeight="1" x14ac:dyDescent="0.3">
      <c r="C4" s="553" t="s">
        <v>142</v>
      </c>
      <c r="D4" s="554"/>
      <c r="E4" s="554"/>
      <c r="F4" s="554"/>
      <c r="G4" s="555"/>
    </row>
    <row r="5" spans="1:7" ht="32.25" x14ac:dyDescent="0.3">
      <c r="A5" s="17"/>
      <c r="B5" s="17"/>
      <c r="C5" s="115" t="s">
        <v>15</v>
      </c>
      <c r="D5" s="116" t="s">
        <v>105</v>
      </c>
      <c r="E5" s="116" t="s">
        <v>118</v>
      </c>
      <c r="F5" s="124" t="s">
        <v>116</v>
      </c>
      <c r="G5" s="123" t="s">
        <v>117</v>
      </c>
    </row>
    <row r="6" spans="1:7" x14ac:dyDescent="0.3">
      <c r="A6" s="17"/>
      <c r="B6" s="17"/>
      <c r="C6" s="120" t="s">
        <v>81</v>
      </c>
      <c r="D6" s="487">
        <f>+'Prelim Development Assumptions'!D9</f>
        <v>673</v>
      </c>
      <c r="E6" s="488">
        <f>+F32</f>
        <v>1.2729999999999999</v>
      </c>
      <c r="F6" s="489">
        <v>10000</v>
      </c>
      <c r="G6" s="130">
        <f>+D6*E6*F6</f>
        <v>8567290</v>
      </c>
    </row>
    <row r="7" spans="1:7" ht="32.25" x14ac:dyDescent="0.3">
      <c r="A7" s="17"/>
      <c r="B7" s="17"/>
      <c r="C7" s="191"/>
      <c r="D7" s="192"/>
      <c r="E7" s="189" t="s">
        <v>186</v>
      </c>
      <c r="F7" s="189" t="s">
        <v>109</v>
      </c>
      <c r="G7" s="190" t="s">
        <v>110</v>
      </c>
    </row>
    <row r="8" spans="1:7" x14ac:dyDescent="0.3">
      <c r="A8" s="17"/>
      <c r="B8" s="17"/>
      <c r="C8" s="191" t="s">
        <v>133</v>
      </c>
      <c r="D8" s="194"/>
      <c r="E8" s="179">
        <f>+G6*E20</f>
        <v>44892.599600000001</v>
      </c>
      <c r="F8" s="179">
        <f>+G6*F20</f>
        <v>74878.114600000001</v>
      </c>
      <c r="G8" s="180">
        <f>+G6*G20</f>
        <v>17854.232359999998</v>
      </c>
    </row>
    <row r="9" spans="1:7" x14ac:dyDescent="0.3">
      <c r="A9" s="17"/>
      <c r="B9" s="17"/>
      <c r="C9" s="193" t="s">
        <v>134</v>
      </c>
      <c r="D9" s="194"/>
      <c r="E9" s="176">
        <f>+E6*D6*30</f>
        <v>25701.87</v>
      </c>
      <c r="F9" s="176">
        <v>0</v>
      </c>
      <c r="G9" s="177">
        <v>0</v>
      </c>
    </row>
    <row r="10" spans="1:7" x14ac:dyDescent="0.3">
      <c r="A10" s="17"/>
      <c r="B10" s="17"/>
      <c r="C10" s="195" t="s">
        <v>8</v>
      </c>
      <c r="D10" s="196"/>
      <c r="E10" s="197">
        <f>+E9+E8</f>
        <v>70594.469599999997</v>
      </c>
      <c r="F10" s="197">
        <f t="shared" ref="F10" si="0">+F9+F8</f>
        <v>74878.114600000001</v>
      </c>
      <c r="G10" s="198">
        <f t="shared" ref="G10" si="1">+G9+G8</f>
        <v>17854.232359999998</v>
      </c>
    </row>
    <row r="11" spans="1:7" ht="17.25" thickBot="1" x14ac:dyDescent="0.35">
      <c r="A11" s="17"/>
      <c r="B11" s="17"/>
      <c r="C11" s="113"/>
      <c r="D11" s="122"/>
      <c r="E11" s="199"/>
      <c r="F11" s="200"/>
      <c r="G11" s="114"/>
    </row>
    <row r="12" spans="1:7" ht="23.25" x14ac:dyDescent="0.3">
      <c r="C12" s="556" t="s">
        <v>107</v>
      </c>
      <c r="D12" s="557"/>
      <c r="E12" s="557"/>
      <c r="F12" s="557"/>
      <c r="G12" s="558"/>
    </row>
    <row r="13" spans="1:7" ht="32.25" x14ac:dyDescent="0.3">
      <c r="C13" s="125" t="s">
        <v>15</v>
      </c>
      <c r="D13" s="126" t="s">
        <v>105</v>
      </c>
      <c r="E13" s="126" t="s">
        <v>118</v>
      </c>
      <c r="F13" s="128" t="s">
        <v>116</v>
      </c>
      <c r="G13" s="129" t="s">
        <v>117</v>
      </c>
    </row>
    <row r="14" spans="1:7" x14ac:dyDescent="0.3">
      <c r="C14" s="120" t="s">
        <v>81</v>
      </c>
      <c r="D14" s="487">
        <f>+'Prelim Development Assumptions'!D15</f>
        <v>79</v>
      </c>
      <c r="E14" s="488">
        <f>+F31</f>
        <v>1.5745000000000002</v>
      </c>
      <c r="F14" s="489">
        <v>10000</v>
      </c>
      <c r="G14" s="130">
        <f>+D14*E14*F14</f>
        <v>1243855.0000000002</v>
      </c>
    </row>
    <row r="15" spans="1:7" ht="32.25" x14ac:dyDescent="0.3">
      <c r="C15" s="191"/>
      <c r="D15" s="192"/>
      <c r="E15" s="189" t="s">
        <v>186</v>
      </c>
      <c r="F15" s="189" t="s">
        <v>109</v>
      </c>
      <c r="G15" s="190" t="s">
        <v>110</v>
      </c>
    </row>
    <row r="16" spans="1:7" x14ac:dyDescent="0.3">
      <c r="C16" s="191" t="s">
        <v>133</v>
      </c>
      <c r="D16" s="194"/>
      <c r="E16" s="179">
        <f>+G14*E20</f>
        <v>6517.8002000000015</v>
      </c>
      <c r="F16" s="179">
        <f>+G14*F20</f>
        <v>10871.292700000002</v>
      </c>
      <c r="G16" s="180">
        <f>+G20*G14</f>
        <v>2592.1938200000004</v>
      </c>
    </row>
    <row r="17" spans="3:7" x14ac:dyDescent="0.3">
      <c r="C17" s="193" t="s">
        <v>134</v>
      </c>
      <c r="D17" s="194"/>
      <c r="E17" s="176">
        <f>+E14*D14*30</f>
        <v>3731.5650000000005</v>
      </c>
      <c r="F17" s="176">
        <v>0</v>
      </c>
      <c r="G17" s="177">
        <v>0</v>
      </c>
    </row>
    <row r="18" spans="3:7" x14ac:dyDescent="0.3">
      <c r="C18" s="195" t="s">
        <v>8</v>
      </c>
      <c r="D18" s="196"/>
      <c r="E18" s="197">
        <f>+E17+E16</f>
        <v>10249.365200000002</v>
      </c>
      <c r="F18" s="197">
        <f t="shared" ref="F18:G18" si="2">+F17+F16</f>
        <v>10871.292700000002</v>
      </c>
      <c r="G18" s="198">
        <f t="shared" si="2"/>
        <v>2592.1938200000004</v>
      </c>
    </row>
    <row r="20" spans="3:7" x14ac:dyDescent="0.3">
      <c r="D20" s="411" t="s">
        <v>245</v>
      </c>
      <c r="E20" s="490">
        <f>+'Tax Calculation'!E20</f>
        <v>5.2399999999999999E-3</v>
      </c>
      <c r="F20" s="490">
        <f>+'Tax Calculation'!F20</f>
        <v>8.7399999999999995E-3</v>
      </c>
      <c r="G20" s="491">
        <f>+'Tax Calculation'!G20</f>
        <v>2.0839999999999999E-3</v>
      </c>
    </row>
    <row r="21" spans="3:7" ht="8.4499999999999993" customHeight="1" x14ac:dyDescent="0.3"/>
    <row r="22" spans="3:7" x14ac:dyDescent="0.3">
      <c r="C22" s="401" t="s">
        <v>235</v>
      </c>
      <c r="D22" s="410"/>
      <c r="E22" s="292"/>
      <c r="F22" s="292"/>
      <c r="G22" s="292"/>
    </row>
    <row r="23" spans="3:7" x14ac:dyDescent="0.3">
      <c r="C23" s="292" t="s">
        <v>236</v>
      </c>
      <c r="D23" s="410"/>
      <c r="E23" s="292"/>
      <c r="F23" s="292"/>
      <c r="G23" s="292"/>
    </row>
    <row r="24" spans="3:7" x14ac:dyDescent="0.3">
      <c r="C24" s="292" t="s">
        <v>298</v>
      </c>
      <c r="D24" s="410"/>
      <c r="E24" s="292"/>
      <c r="F24" s="292"/>
      <c r="G24" s="292"/>
    </row>
    <row r="25" spans="3:7" x14ac:dyDescent="0.3">
      <c r="C25" s="292" t="s">
        <v>237</v>
      </c>
      <c r="D25" s="410"/>
      <c r="E25" s="292"/>
      <c r="F25" s="292"/>
      <c r="G25" s="292"/>
    </row>
    <row r="26" spans="3:7" x14ac:dyDescent="0.3">
      <c r="C26" s="292"/>
      <c r="D26" s="410"/>
      <c r="E26" s="292"/>
      <c r="F26" s="292"/>
      <c r="G26" s="292"/>
    </row>
    <row r="27" spans="3:7" x14ac:dyDescent="0.3">
      <c r="C27" s="400" t="s">
        <v>240</v>
      </c>
      <c r="D27" s="410"/>
      <c r="E27" s="292"/>
      <c r="F27" s="292"/>
      <c r="G27" s="292"/>
    </row>
    <row r="28" spans="3:7" x14ac:dyDescent="0.3">
      <c r="C28" s="292" t="s">
        <v>239</v>
      </c>
      <c r="D28" s="410"/>
      <c r="E28" s="292"/>
      <c r="F28" s="292"/>
      <c r="G28" s="292"/>
    </row>
    <row r="29" spans="3:7" ht="7.9" customHeight="1" x14ac:dyDescent="0.3">
      <c r="C29" s="292"/>
      <c r="D29" s="410"/>
      <c r="E29" s="292"/>
      <c r="F29" s="292"/>
      <c r="G29" s="292"/>
    </row>
    <row r="30" spans="3:7" ht="33" x14ac:dyDescent="0.3">
      <c r="D30" s="349" t="s">
        <v>243</v>
      </c>
      <c r="E30" s="349" t="s">
        <v>244</v>
      </c>
      <c r="F30" s="349" t="s">
        <v>238</v>
      </c>
    </row>
    <row r="31" spans="3:7" x14ac:dyDescent="0.3">
      <c r="C31" s="350" t="s">
        <v>241</v>
      </c>
      <c r="D31" s="492">
        <f>+'Population Assumptions'!D7</f>
        <v>2.35</v>
      </c>
      <c r="E31" s="450">
        <v>0.67</v>
      </c>
      <c r="F31" s="348">
        <f>+E31*D31</f>
        <v>1.5745000000000002</v>
      </c>
      <c r="G31" s="268"/>
    </row>
    <row r="32" spans="3:7" x14ac:dyDescent="0.3">
      <c r="C32" s="350" t="s">
        <v>242</v>
      </c>
      <c r="D32" s="492">
        <f>+'Population Assumptions'!D4</f>
        <v>1.9</v>
      </c>
      <c r="E32" s="450">
        <v>0.67</v>
      </c>
      <c r="F32" s="348">
        <f>+E32*D32</f>
        <v>1.2729999999999999</v>
      </c>
      <c r="G32" s="268"/>
    </row>
  </sheetData>
  <mergeCells count="2">
    <mergeCell ref="C4:G4"/>
    <mergeCell ref="C12:G1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I11"/>
  <sheetViews>
    <sheetView showGridLines="0" workbookViewId="0">
      <selection activeCell="I13" sqref="I13"/>
    </sheetView>
  </sheetViews>
  <sheetFormatPr defaultColWidth="9.140625" defaultRowHeight="16.5" x14ac:dyDescent="0.3"/>
  <cols>
    <col min="1" max="1" width="7.85546875" style="15" customWidth="1"/>
    <col min="2" max="2" width="1.85546875" style="15" customWidth="1"/>
    <col min="3" max="3" width="24.5703125" style="15" customWidth="1"/>
    <col min="4" max="4" width="18.85546875" style="15" customWidth="1"/>
    <col min="5" max="6" width="18.42578125" style="15" customWidth="1"/>
    <col min="7" max="8" width="9.140625" style="15"/>
    <col min="9" max="9" width="18" style="15" customWidth="1"/>
    <col min="10" max="16384" width="9.140625" style="15"/>
  </cols>
  <sheetData>
    <row r="2" spans="1:9" ht="19.899999999999999" customHeight="1" x14ac:dyDescent="0.35">
      <c r="C2" s="132" t="s">
        <v>180</v>
      </c>
    </row>
    <row r="3" spans="1:9" ht="10.9" customHeight="1" thickBot="1" x14ac:dyDescent="0.35"/>
    <row r="4" spans="1:9" ht="28.15" customHeight="1" x14ac:dyDescent="0.3">
      <c r="C4" s="260"/>
      <c r="D4" s="261"/>
      <c r="E4" s="277"/>
      <c r="F4" s="278"/>
      <c r="I4" s="268"/>
    </row>
    <row r="5" spans="1:9" ht="33" thickBot="1" x14ac:dyDescent="0.35">
      <c r="A5" s="17"/>
      <c r="B5" s="17"/>
      <c r="C5" s="111" t="s">
        <v>15</v>
      </c>
      <c r="D5" s="112" t="s">
        <v>183</v>
      </c>
      <c r="E5" s="273" t="s">
        <v>112</v>
      </c>
      <c r="F5" s="279" t="s">
        <v>107</v>
      </c>
    </row>
    <row r="6" spans="1:9" x14ac:dyDescent="0.3">
      <c r="A6" s="17"/>
      <c r="B6" s="17"/>
      <c r="C6" s="270" t="s">
        <v>184</v>
      </c>
      <c r="D6" s="271"/>
      <c r="E6" s="495">
        <f>+'Tax Calculation'!D11+'Vehicle Tax'!G6</f>
        <v>308268917.69800323</v>
      </c>
      <c r="F6" s="496">
        <f>+'Prelim Development Assumptions'!G15+'Vehicle Tax'!G14</f>
        <v>47185905.202429146</v>
      </c>
    </row>
    <row r="7" spans="1:9" x14ac:dyDescent="0.3">
      <c r="A7" s="17"/>
      <c r="B7" s="17"/>
      <c r="C7" s="119" t="s">
        <v>90</v>
      </c>
      <c r="D7" s="493">
        <v>38.799999999999997</v>
      </c>
      <c r="E7" s="272">
        <f>+$E$6/100*D7/100</f>
        <v>1196083.4006682525</v>
      </c>
      <c r="F7" s="272">
        <f>+$F$6/100*D7/100</f>
        <v>183081.31218542508</v>
      </c>
      <c r="I7" s="268"/>
    </row>
    <row r="8" spans="1:9" x14ac:dyDescent="0.3">
      <c r="A8" s="17"/>
      <c r="B8" s="17"/>
      <c r="C8" s="120" t="s">
        <v>181</v>
      </c>
      <c r="D8" s="494">
        <v>5.0999999999999996</v>
      </c>
      <c r="E8" s="272">
        <f t="shared" ref="E8:E9" si="0">+$E$6/100*D8/100</f>
        <v>157217.14802598165</v>
      </c>
      <c r="F8" s="272">
        <f t="shared" ref="F8:F9" si="1">+$F$6/100*D8/100</f>
        <v>24064.811653238867</v>
      </c>
      <c r="I8" s="274"/>
    </row>
    <row r="9" spans="1:9" ht="17.25" thickBot="1" x14ac:dyDescent="0.35">
      <c r="A9" s="17"/>
      <c r="B9" s="17"/>
      <c r="C9" s="120" t="s">
        <v>182</v>
      </c>
      <c r="D9" s="494">
        <v>8.5</v>
      </c>
      <c r="E9" s="272">
        <f t="shared" si="0"/>
        <v>262028.58004330273</v>
      </c>
      <c r="F9" s="272">
        <f t="shared" si="1"/>
        <v>40108.019422064775</v>
      </c>
    </row>
    <row r="10" spans="1:9" ht="17.25" thickBot="1" x14ac:dyDescent="0.35">
      <c r="C10" s="163" t="s">
        <v>20</v>
      </c>
      <c r="D10" s="267">
        <f>+D9+D8+D7</f>
        <v>52.4</v>
      </c>
      <c r="E10" s="275">
        <f>SUM(E7:E9)</f>
        <v>1615329.1287375367</v>
      </c>
      <c r="F10" s="276">
        <f>SUM(F7:F9)</f>
        <v>247254.14326072871</v>
      </c>
    </row>
    <row r="11" spans="1:9" x14ac:dyDescent="0.3">
      <c r="C11" s="280" t="s">
        <v>185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16"/>
  <sheetViews>
    <sheetView showGridLines="0" workbookViewId="0">
      <selection activeCell="C18" sqref="C18"/>
    </sheetView>
  </sheetViews>
  <sheetFormatPr defaultRowHeight="12.75" x14ac:dyDescent="0.2"/>
  <cols>
    <col min="2" max="2" width="16.28515625" customWidth="1"/>
    <col min="3" max="6" width="17.42578125" customWidth="1"/>
    <col min="7" max="7" width="17.42578125" hidden="1" customWidth="1"/>
  </cols>
  <sheetData>
    <row r="3" spans="2:7" ht="18.75" x14ac:dyDescent="0.3">
      <c r="B3" s="8" t="s">
        <v>53</v>
      </c>
    </row>
    <row r="4" spans="2:7" ht="15.75" x14ac:dyDescent="0.25">
      <c r="B4" s="43" t="s">
        <v>111</v>
      </c>
      <c r="C4" s="45"/>
    </row>
    <row r="5" spans="2:7" ht="15.75" x14ac:dyDescent="0.25">
      <c r="B5" s="207" t="s">
        <v>136</v>
      </c>
      <c r="C5" s="497">
        <f>1243*24.75</f>
        <v>30764.25</v>
      </c>
      <c r="D5" s="33"/>
      <c r="E5" s="33"/>
      <c r="F5" s="33"/>
      <c r="G5" s="33"/>
    </row>
    <row r="6" spans="2:7" ht="15.75" x14ac:dyDescent="0.25">
      <c r="B6" s="142" t="s">
        <v>107</v>
      </c>
      <c r="C6" s="498"/>
      <c r="D6" s="33"/>
      <c r="E6" s="33"/>
      <c r="F6" s="33"/>
      <c r="G6" s="33"/>
    </row>
    <row r="7" spans="2:7" ht="15.75" x14ac:dyDescent="0.25">
      <c r="B7" s="207" t="s">
        <v>137</v>
      </c>
      <c r="C7" s="497">
        <f>331*24.75</f>
        <v>8192.25</v>
      </c>
      <c r="D7" s="60"/>
      <c r="E7" s="60"/>
      <c r="F7" s="60"/>
      <c r="G7" s="33"/>
    </row>
    <row r="8" spans="2:7" ht="24.75" customHeight="1" x14ac:dyDescent="0.25">
      <c r="B8" s="181" t="s">
        <v>56</v>
      </c>
      <c r="C8" s="58"/>
      <c r="D8" s="59"/>
      <c r="E8" s="58"/>
      <c r="F8" s="33"/>
      <c r="G8" s="33"/>
    </row>
    <row r="9" spans="2:7" ht="15.75" x14ac:dyDescent="0.25">
      <c r="B9" s="399" t="s">
        <v>235</v>
      </c>
      <c r="C9" s="4"/>
    </row>
    <row r="10" spans="2:7" ht="15.75" x14ac:dyDescent="0.25">
      <c r="B10" s="414" t="s">
        <v>278</v>
      </c>
      <c r="C10" s="4"/>
    </row>
    <row r="11" spans="2:7" ht="16.899999999999999" customHeight="1" x14ac:dyDescent="0.25">
      <c r="B11" s="414" t="s">
        <v>248</v>
      </c>
      <c r="C11" s="4"/>
    </row>
    <row r="12" spans="2:7" ht="21" customHeight="1" x14ac:dyDescent="0.2"/>
    <row r="13" spans="2:7" ht="21" customHeight="1" x14ac:dyDescent="0.2"/>
    <row r="14" spans="2:7" ht="21" customHeight="1" x14ac:dyDescent="0.2"/>
    <row r="16" spans="2:7" x14ac:dyDescent="0.2">
      <c r="D16" s="18"/>
      <c r="E16" s="1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3:I47"/>
  <sheetViews>
    <sheetView showGridLines="0" tabSelected="1" workbookViewId="0">
      <selection activeCell="G23" sqref="G23"/>
    </sheetView>
  </sheetViews>
  <sheetFormatPr defaultRowHeight="12.75" x14ac:dyDescent="0.2"/>
  <cols>
    <col min="2" max="2" width="16.7109375" customWidth="1"/>
    <col min="3" max="3" width="14.7109375" customWidth="1"/>
    <col min="4" max="4" width="14" customWidth="1"/>
    <col min="5" max="5" width="17.42578125" customWidth="1"/>
    <col min="6" max="6" width="13.28515625" customWidth="1"/>
    <col min="7" max="7" width="19.28515625" customWidth="1"/>
    <col min="8" max="8" width="6" customWidth="1"/>
    <col min="9" max="9" width="17.42578125" customWidth="1"/>
  </cols>
  <sheetData>
    <row r="3" spans="2:9" ht="18.75" x14ac:dyDescent="0.3">
      <c r="B3" s="8" t="s">
        <v>234</v>
      </c>
    </row>
    <row r="4" spans="2:9" ht="31.5" x14ac:dyDescent="0.25">
      <c r="B4" s="43"/>
      <c r="C4" s="44" t="s">
        <v>23</v>
      </c>
      <c r="D4" s="44" t="s">
        <v>24</v>
      </c>
      <c r="E4" s="44" t="s">
        <v>25</v>
      </c>
      <c r="F4" s="44" t="s">
        <v>26</v>
      </c>
      <c r="G4" s="45" t="s">
        <v>141</v>
      </c>
      <c r="I4" s="60"/>
    </row>
    <row r="5" spans="2:9" ht="15.75" x14ac:dyDescent="0.25">
      <c r="B5" s="9" t="s">
        <v>282</v>
      </c>
      <c r="C5" s="499">
        <f>+'Prelim Development Assumptions'!E6</f>
        <v>327180</v>
      </c>
      <c r="D5" s="451">
        <v>290</v>
      </c>
      <c r="E5" s="10">
        <f>+D5*C5</f>
        <v>94882200</v>
      </c>
      <c r="F5" s="501">
        <f>+E19</f>
        <v>6.8714579347953454E-3</v>
      </c>
      <c r="G5" s="12">
        <f>+F5*E5</f>
        <v>651979.04606083897</v>
      </c>
      <c r="I5" s="420"/>
    </row>
    <row r="6" spans="2:9" ht="15.75" x14ac:dyDescent="0.25">
      <c r="B6" s="417" t="s">
        <v>283</v>
      </c>
      <c r="C6" s="500">
        <f>+C5</f>
        <v>327180</v>
      </c>
      <c r="D6" s="452">
        <v>290</v>
      </c>
      <c r="E6" s="418">
        <f>+D6*C6</f>
        <v>94882200</v>
      </c>
      <c r="F6" s="502">
        <f>+E38</f>
        <v>1.6662403840150008E-2</v>
      </c>
      <c r="G6" s="419">
        <f>+F6*E6</f>
        <v>1580965.5336418811</v>
      </c>
    </row>
    <row r="7" spans="2:9" ht="31.15" customHeight="1" thickBot="1" x14ac:dyDescent="0.25">
      <c r="D7" s="18"/>
      <c r="E7" s="18"/>
      <c r="F7" s="18"/>
    </row>
    <row r="8" spans="2:9" ht="20.25" x14ac:dyDescent="0.3">
      <c r="B8" s="42" t="s">
        <v>250</v>
      </c>
      <c r="C8" s="29"/>
      <c r="D8" s="30"/>
      <c r="E8" s="31"/>
      <c r="F8" s="18"/>
    </row>
    <row r="9" spans="2:9" x14ac:dyDescent="0.2">
      <c r="B9" s="32"/>
      <c r="C9" s="33"/>
      <c r="D9" s="33"/>
      <c r="E9" s="34" t="s">
        <v>29</v>
      </c>
      <c r="F9" s="2"/>
      <c r="G9" s="2"/>
    </row>
    <row r="10" spans="2:9" x14ac:dyDescent="0.2">
      <c r="B10" s="32" t="s">
        <v>28</v>
      </c>
      <c r="C10" s="33"/>
      <c r="D10" s="33"/>
      <c r="E10" s="503">
        <v>35845683</v>
      </c>
      <c r="F10" s="18"/>
      <c r="G10" s="18"/>
    </row>
    <row r="11" spans="2:9" x14ac:dyDescent="0.2">
      <c r="B11" s="32" t="s">
        <v>27</v>
      </c>
      <c r="C11" s="33"/>
      <c r="D11" s="33"/>
      <c r="E11" s="503">
        <v>10240945</v>
      </c>
      <c r="F11" s="18"/>
      <c r="G11" s="18"/>
    </row>
    <row r="12" spans="2:9" x14ac:dyDescent="0.2">
      <c r="B12" s="32"/>
      <c r="C12" s="33"/>
      <c r="D12" s="33"/>
      <c r="E12" s="503"/>
      <c r="F12" s="18"/>
      <c r="G12" s="18"/>
    </row>
    <row r="13" spans="2:9" x14ac:dyDescent="0.2">
      <c r="B13" s="32" t="s">
        <v>30</v>
      </c>
      <c r="C13" s="33"/>
      <c r="D13" s="33"/>
      <c r="E13" s="503">
        <v>1321366090</v>
      </c>
      <c r="F13" s="18"/>
      <c r="I13" s="18"/>
    </row>
    <row r="14" spans="2:9" x14ac:dyDescent="0.2">
      <c r="B14" s="32"/>
      <c r="C14" s="33"/>
      <c r="D14" s="33"/>
      <c r="E14" s="35"/>
      <c r="F14" s="18"/>
      <c r="I14" s="18"/>
    </row>
    <row r="15" spans="2:9" x14ac:dyDescent="0.2">
      <c r="B15" s="32" t="s">
        <v>31</v>
      </c>
      <c r="C15" s="33"/>
      <c r="D15" s="33"/>
      <c r="E15" s="36">
        <f>+E10/E13</f>
        <v>2.7127745498599861E-2</v>
      </c>
      <c r="F15" s="18"/>
    </row>
    <row r="16" spans="2:9" x14ac:dyDescent="0.2">
      <c r="B16" s="32"/>
      <c r="C16" s="33"/>
      <c r="D16" s="33"/>
      <c r="E16" s="37"/>
      <c r="F16" s="18"/>
    </row>
    <row r="17" spans="2:9" x14ac:dyDescent="0.2">
      <c r="B17" s="38" t="s">
        <v>33</v>
      </c>
      <c r="C17" s="33"/>
      <c r="D17" s="33"/>
      <c r="E17" s="504">
        <v>0.25330000000000003</v>
      </c>
      <c r="F17" s="18"/>
      <c r="I17" s="208"/>
    </row>
    <row r="18" spans="2:9" x14ac:dyDescent="0.2">
      <c r="B18" s="32"/>
      <c r="C18" s="33"/>
      <c r="D18" s="33"/>
      <c r="E18" s="37"/>
      <c r="F18" s="18"/>
    </row>
    <row r="19" spans="2:9" x14ac:dyDescent="0.2">
      <c r="B19" s="32" t="s">
        <v>32</v>
      </c>
      <c r="C19" s="33"/>
      <c r="D19" s="33"/>
      <c r="E19" s="36">
        <f>+E15*E17</f>
        <v>6.8714579347953454E-3</v>
      </c>
      <c r="F19" s="18"/>
    </row>
    <row r="20" spans="2:9" x14ac:dyDescent="0.2">
      <c r="B20" s="32"/>
      <c r="C20" s="33"/>
      <c r="D20" s="33"/>
      <c r="E20" s="35"/>
      <c r="F20" s="18"/>
    </row>
    <row r="21" spans="2:9" x14ac:dyDescent="0.2">
      <c r="B21" s="65" t="s">
        <v>34</v>
      </c>
      <c r="C21" s="33"/>
      <c r="D21" s="33"/>
      <c r="E21" s="35"/>
      <c r="F21" s="18"/>
    </row>
    <row r="22" spans="2:9" x14ac:dyDescent="0.2">
      <c r="B22" s="65" t="s">
        <v>57</v>
      </c>
      <c r="C22" s="33"/>
      <c r="D22" s="33"/>
      <c r="E22" s="35"/>
      <c r="F22" s="18"/>
    </row>
    <row r="23" spans="2:9" x14ac:dyDescent="0.2">
      <c r="B23" s="65" t="s">
        <v>58</v>
      </c>
      <c r="C23" s="33"/>
      <c r="D23" s="33"/>
      <c r="E23" s="35"/>
      <c r="F23" s="18"/>
    </row>
    <row r="24" spans="2:9" ht="13.5" thickBot="1" x14ac:dyDescent="0.25">
      <c r="B24" s="39"/>
      <c r="C24" s="40"/>
      <c r="D24" s="40"/>
      <c r="E24" s="41"/>
      <c r="F24" s="18"/>
    </row>
    <row r="25" spans="2:9" x14ac:dyDescent="0.2">
      <c r="E25" s="18"/>
      <c r="F25" s="18"/>
    </row>
    <row r="26" spans="2:9" ht="13.5" thickBot="1" x14ac:dyDescent="0.25"/>
    <row r="27" spans="2:9" ht="20.25" x14ac:dyDescent="0.3">
      <c r="B27" s="42" t="s">
        <v>251</v>
      </c>
      <c r="C27" s="29"/>
      <c r="D27" s="30"/>
      <c r="E27" s="31"/>
    </row>
    <row r="28" spans="2:9" x14ac:dyDescent="0.2">
      <c r="B28" s="32"/>
      <c r="C28" s="33"/>
      <c r="D28" s="33"/>
      <c r="E28" s="34" t="s">
        <v>29</v>
      </c>
    </row>
    <row r="29" spans="2:9" x14ac:dyDescent="0.2">
      <c r="B29" s="32" t="s">
        <v>28</v>
      </c>
      <c r="C29" s="33"/>
      <c r="D29" s="33"/>
      <c r="E29" s="503">
        <v>35845683</v>
      </c>
    </row>
    <row r="30" spans="2:9" x14ac:dyDescent="0.2">
      <c r="B30" s="32" t="s">
        <v>27</v>
      </c>
      <c r="C30" s="33"/>
      <c r="D30" s="33"/>
      <c r="E30" s="503">
        <v>10240945</v>
      </c>
    </row>
    <row r="31" spans="2:9" x14ac:dyDescent="0.2">
      <c r="B31" s="32"/>
      <c r="C31" s="33"/>
      <c r="D31" s="33"/>
      <c r="E31" s="503"/>
    </row>
    <row r="32" spans="2:9" x14ac:dyDescent="0.2">
      <c r="B32" s="32" t="s">
        <v>30</v>
      </c>
      <c r="C32" s="33"/>
      <c r="D32" s="33"/>
      <c r="E32" s="503">
        <v>1321366090</v>
      </c>
    </row>
    <row r="33" spans="2:5" x14ac:dyDescent="0.2">
      <c r="B33" s="32"/>
      <c r="C33" s="33"/>
      <c r="D33" s="33"/>
      <c r="E33" s="35"/>
    </row>
    <row r="34" spans="2:5" x14ac:dyDescent="0.2">
      <c r="B34" s="32" t="s">
        <v>31</v>
      </c>
      <c r="C34" s="33"/>
      <c r="D34" s="33"/>
      <c r="E34" s="36">
        <f>+E29/E32</f>
        <v>2.7127745498599861E-2</v>
      </c>
    </row>
    <row r="35" spans="2:5" x14ac:dyDescent="0.2">
      <c r="B35" s="32"/>
      <c r="C35" s="33"/>
      <c r="D35" s="33"/>
      <c r="E35" s="37"/>
    </row>
    <row r="36" spans="2:5" x14ac:dyDescent="0.2">
      <c r="B36" s="38" t="s">
        <v>129</v>
      </c>
      <c r="C36" s="33"/>
      <c r="D36" s="33"/>
      <c r="E36" s="505">
        <v>0.61421999999999999</v>
      </c>
    </row>
    <row r="37" spans="2:5" x14ac:dyDescent="0.2">
      <c r="B37" s="32"/>
      <c r="C37" s="33"/>
      <c r="D37" s="33"/>
      <c r="E37" s="37"/>
    </row>
    <row r="38" spans="2:5" x14ac:dyDescent="0.2">
      <c r="B38" s="347" t="s">
        <v>249</v>
      </c>
      <c r="C38" s="33"/>
      <c r="D38" s="33"/>
      <c r="E38" s="36">
        <f>+E34*E36</f>
        <v>1.6662403840150008E-2</v>
      </c>
    </row>
    <row r="39" spans="2:5" x14ac:dyDescent="0.2">
      <c r="B39" s="32"/>
      <c r="C39" s="33"/>
      <c r="D39" s="33"/>
      <c r="E39" s="35"/>
    </row>
    <row r="40" spans="2:5" x14ac:dyDescent="0.2">
      <c r="B40" s="65" t="s">
        <v>34</v>
      </c>
      <c r="C40" s="33"/>
      <c r="D40" s="33"/>
      <c r="E40" s="35"/>
    </row>
    <row r="41" spans="2:5" x14ac:dyDescent="0.2">
      <c r="B41" s="65" t="s">
        <v>57</v>
      </c>
      <c r="C41" s="33"/>
      <c r="D41" s="33"/>
      <c r="E41" s="35"/>
    </row>
    <row r="42" spans="2:5" x14ac:dyDescent="0.2">
      <c r="B42" s="65" t="s">
        <v>58</v>
      </c>
      <c r="C42" s="33"/>
      <c r="D42" s="33"/>
      <c r="E42" s="35"/>
    </row>
    <row r="43" spans="2:5" ht="13.5" thickBot="1" x14ac:dyDescent="0.25">
      <c r="B43" s="39"/>
      <c r="C43" s="40"/>
      <c r="D43" s="40"/>
      <c r="E43" s="41"/>
    </row>
    <row r="45" spans="2:5" ht="15.75" x14ac:dyDescent="0.25">
      <c r="B45" s="415" t="s">
        <v>279</v>
      </c>
    </row>
    <row r="46" spans="2:5" ht="15.75" x14ac:dyDescent="0.25">
      <c r="B46" s="416" t="s">
        <v>280</v>
      </c>
    </row>
    <row r="47" spans="2:5" ht="15.75" x14ac:dyDescent="0.25">
      <c r="B47" s="416" t="s">
        <v>281</v>
      </c>
    </row>
  </sheetData>
  <pageMargins left="0.5" right="0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M40"/>
  <sheetViews>
    <sheetView workbookViewId="0">
      <selection activeCell="E13" sqref="E13"/>
    </sheetView>
  </sheetViews>
  <sheetFormatPr defaultColWidth="9.140625" defaultRowHeight="15" x14ac:dyDescent="0.2"/>
  <cols>
    <col min="1" max="1" width="9.140625" style="4"/>
    <col min="2" max="2" width="33.85546875" style="4" customWidth="1"/>
    <col min="3" max="3" width="15.85546875" style="5" customWidth="1"/>
    <col min="4" max="4" width="14.85546875" style="5" customWidth="1"/>
    <col min="5" max="5" width="14.7109375" style="5" customWidth="1"/>
    <col min="6" max="6" width="14.7109375" style="5" hidden="1" customWidth="1"/>
    <col min="7" max="7" width="14.140625" style="5" customWidth="1"/>
    <col min="8" max="8" width="20.7109375" style="5" customWidth="1"/>
    <col min="9" max="13" width="17" style="5" customWidth="1"/>
    <col min="14" max="16384" width="9.140625" style="4"/>
  </cols>
  <sheetData>
    <row r="1" spans="2:13" s="97" customFormat="1" x14ac:dyDescent="0.2"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2:13" ht="18.75" x14ac:dyDescent="0.3">
      <c r="B2" s="8" t="s">
        <v>35</v>
      </c>
      <c r="C2"/>
      <c r="D2"/>
      <c r="E2"/>
      <c r="F2"/>
      <c r="G2"/>
      <c r="H2"/>
    </row>
    <row r="3" spans="2:13" ht="33" x14ac:dyDescent="0.35">
      <c r="B3" s="214" t="s">
        <v>142</v>
      </c>
      <c r="C3" s="44" t="s">
        <v>36</v>
      </c>
      <c r="D3" s="44" t="s">
        <v>37</v>
      </c>
      <c r="E3" s="44" t="s">
        <v>46</v>
      </c>
      <c r="F3" s="44" t="s">
        <v>49</v>
      </c>
      <c r="G3" s="44" t="s">
        <v>47</v>
      </c>
      <c r="H3" s="45" t="s">
        <v>80</v>
      </c>
    </row>
    <row r="4" spans="2:13" ht="15.75" x14ac:dyDescent="0.25">
      <c r="B4" s="9" t="s">
        <v>91</v>
      </c>
      <c r="C4" s="451">
        <v>673</v>
      </c>
      <c r="D4" s="453">
        <v>1.9</v>
      </c>
      <c r="E4" s="10">
        <f>+D4*C4</f>
        <v>1278.7</v>
      </c>
      <c r="F4" s="10">
        <f>+E4</f>
        <v>1278.7</v>
      </c>
      <c r="G4" s="508">
        <v>60250</v>
      </c>
      <c r="H4" s="56">
        <f>+F4/G4</f>
        <v>2.1223236514522823E-2</v>
      </c>
    </row>
    <row r="5" spans="2:13" ht="15.75" x14ac:dyDescent="0.25">
      <c r="B5" s="145"/>
      <c r="C5" s="58"/>
      <c r="D5" s="215"/>
      <c r="E5" s="58"/>
      <c r="F5" s="58"/>
      <c r="G5" s="216"/>
      <c r="H5" s="217"/>
    </row>
    <row r="6" spans="2:13" ht="33" x14ac:dyDescent="0.35">
      <c r="B6" s="218" t="s">
        <v>143</v>
      </c>
      <c r="C6" s="143" t="s">
        <v>144</v>
      </c>
      <c r="D6" s="143" t="s">
        <v>145</v>
      </c>
      <c r="E6" s="143" t="s">
        <v>46</v>
      </c>
      <c r="F6" s="143" t="s">
        <v>49</v>
      </c>
      <c r="G6" s="143" t="s">
        <v>47</v>
      </c>
      <c r="H6" s="144" t="s">
        <v>80</v>
      </c>
    </row>
    <row r="7" spans="2:13" ht="15.75" x14ac:dyDescent="0.25">
      <c r="B7" s="9" t="s">
        <v>91</v>
      </c>
      <c r="C7" s="451">
        <v>79</v>
      </c>
      <c r="D7" s="453">
        <v>2.35</v>
      </c>
      <c r="E7" s="10">
        <f>+D7*C7</f>
        <v>185.65</v>
      </c>
      <c r="F7" s="10">
        <f>+E7</f>
        <v>185.65</v>
      </c>
      <c r="G7" s="508">
        <f>+G4</f>
        <v>60250</v>
      </c>
      <c r="H7" s="56">
        <f>+F7/G7</f>
        <v>3.0813278008298755E-3</v>
      </c>
    </row>
    <row r="8" spans="2:13" x14ac:dyDescent="0.2">
      <c r="B8" s="76" t="s">
        <v>146</v>
      </c>
    </row>
    <row r="9" spans="2:13" ht="15.75" thickBot="1" x14ac:dyDescent="0.25"/>
    <row r="10" spans="2:13" ht="15.75" x14ac:dyDescent="0.25">
      <c r="B10" s="46" t="s">
        <v>45</v>
      </c>
      <c r="C10" s="47"/>
    </row>
    <row r="11" spans="2:13" x14ac:dyDescent="0.2">
      <c r="B11" s="48" t="s">
        <v>38</v>
      </c>
      <c r="C11" s="506">
        <v>1.48</v>
      </c>
    </row>
    <row r="12" spans="2:13" x14ac:dyDescent="0.2">
      <c r="B12" s="48" t="s">
        <v>39</v>
      </c>
      <c r="C12" s="506">
        <v>1.76</v>
      </c>
    </row>
    <row r="13" spans="2:13" x14ac:dyDescent="0.2">
      <c r="B13" s="48" t="s">
        <v>40</v>
      </c>
      <c r="C13" s="506">
        <v>1.6</v>
      </c>
      <c r="J13" s="7"/>
    </row>
    <row r="14" spans="2:13" x14ac:dyDescent="0.2">
      <c r="B14" s="48" t="s">
        <v>41</v>
      </c>
      <c r="C14" s="506">
        <v>2.02</v>
      </c>
      <c r="J14" s="6"/>
      <c r="K14" s="6"/>
    </row>
    <row r="15" spans="2:13" x14ac:dyDescent="0.2">
      <c r="B15" s="48" t="s">
        <v>42</v>
      </c>
      <c r="C15" s="506">
        <v>2.27</v>
      </c>
      <c r="J15" s="6"/>
    </row>
    <row r="16" spans="2:13" ht="17.25" x14ac:dyDescent="0.35">
      <c r="B16" s="48" t="s">
        <v>43</v>
      </c>
      <c r="C16" s="507">
        <v>2.29</v>
      </c>
      <c r="J16" s="6"/>
    </row>
    <row r="17" spans="2:10" ht="16.5" thickBot="1" x14ac:dyDescent="0.3">
      <c r="B17" s="49" t="s">
        <v>44</v>
      </c>
      <c r="C17" s="50">
        <f>SUM(C11:C16)/6</f>
        <v>1.9033333333333331</v>
      </c>
    </row>
    <row r="21" spans="2:10" ht="15.75" x14ac:dyDescent="0.25">
      <c r="F21" s="55" t="s">
        <v>48</v>
      </c>
      <c r="H21" s="6"/>
      <c r="I21" s="6"/>
      <c r="J21" s="6"/>
    </row>
    <row r="22" spans="2:10" x14ac:dyDescent="0.2">
      <c r="F22" s="53">
        <v>2004</v>
      </c>
      <c r="H22" s="6"/>
      <c r="I22" s="6"/>
      <c r="J22" s="6"/>
    </row>
    <row r="23" spans="2:10" x14ac:dyDescent="0.2">
      <c r="F23" s="53">
        <v>2013</v>
      </c>
      <c r="H23" s="6"/>
      <c r="I23" s="6"/>
      <c r="J23" s="6"/>
    </row>
    <row r="24" spans="2:10" x14ac:dyDescent="0.2">
      <c r="F24" s="53">
        <v>2014</v>
      </c>
    </row>
    <row r="25" spans="2:10" x14ac:dyDescent="0.2">
      <c r="F25" s="53">
        <v>2015</v>
      </c>
    </row>
    <row r="26" spans="2:10" x14ac:dyDescent="0.2">
      <c r="F26" s="53">
        <v>2016</v>
      </c>
      <c r="H26" s="51"/>
    </row>
    <row r="27" spans="2:10" x14ac:dyDescent="0.2">
      <c r="F27" s="53">
        <v>2017</v>
      </c>
      <c r="H27" s="52"/>
    </row>
    <row r="28" spans="2:10" x14ac:dyDescent="0.2">
      <c r="F28" s="53">
        <v>2018</v>
      </c>
    </row>
    <row r="29" spans="2:10" ht="15.75" x14ac:dyDescent="0.25">
      <c r="F29" s="54">
        <v>2019</v>
      </c>
      <c r="G29" s="55"/>
    </row>
    <row r="30" spans="2:10" x14ac:dyDescent="0.2">
      <c r="F30" s="53">
        <v>2020</v>
      </c>
    </row>
    <row r="31" spans="2:10" x14ac:dyDescent="0.2">
      <c r="F31" s="53">
        <v>2021</v>
      </c>
    </row>
    <row r="32" spans="2:10" x14ac:dyDescent="0.2">
      <c r="F32" s="53">
        <v>2022</v>
      </c>
    </row>
    <row r="33" spans="6:7" x14ac:dyDescent="0.2">
      <c r="F33" s="53">
        <v>2023</v>
      </c>
    </row>
    <row r="34" spans="6:7" ht="15.75" x14ac:dyDescent="0.25">
      <c r="F34" s="54">
        <v>2024</v>
      </c>
      <c r="G34" s="55"/>
    </row>
    <row r="35" spans="6:7" x14ac:dyDescent="0.2">
      <c r="F35" s="53">
        <v>2025</v>
      </c>
    </row>
    <row r="36" spans="6:7" x14ac:dyDescent="0.2">
      <c r="F36" s="53">
        <v>2026</v>
      </c>
    </row>
    <row r="37" spans="6:7" x14ac:dyDescent="0.2">
      <c r="F37" s="53">
        <v>2027</v>
      </c>
    </row>
    <row r="38" spans="6:7" x14ac:dyDescent="0.2">
      <c r="F38" s="53">
        <v>2028</v>
      </c>
    </row>
    <row r="39" spans="6:7" ht="15.75" x14ac:dyDescent="0.25">
      <c r="F39" s="54">
        <v>2029</v>
      </c>
      <c r="G39" s="55"/>
    </row>
    <row r="40" spans="6:7" x14ac:dyDescent="0.2">
      <c r="F40" s="53">
        <v>2030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Instructions</vt:lpstr>
      <vt:lpstr>Prelim Development Assumptions</vt:lpstr>
      <vt:lpstr>Square Footage Values</vt:lpstr>
      <vt:lpstr>Tax Calculation</vt:lpstr>
      <vt:lpstr>Vehicle Tax</vt:lpstr>
      <vt:lpstr>Town Tax Breakout</vt:lpstr>
      <vt:lpstr>Stormwater</vt:lpstr>
      <vt:lpstr>Sales Tax</vt:lpstr>
      <vt:lpstr>Population Assumptions</vt:lpstr>
      <vt:lpstr>Permit Revenue_Cost</vt:lpstr>
      <vt:lpstr>Public Safety Costs</vt:lpstr>
      <vt:lpstr>Leisure Costs</vt:lpstr>
      <vt:lpstr>Departmental Costs</vt:lpstr>
      <vt:lpstr>Schools</vt:lpstr>
      <vt:lpstr>Revenue SUMMARY</vt:lpstr>
      <vt:lpstr>Revenue and Cost Comp</vt:lpstr>
      <vt:lpstr>Per-capita Cost of Services</vt:lpstr>
      <vt:lpstr>Graphs</vt:lpstr>
      <vt:lpstr>'Departmental Costs'!Print_Area</vt:lpstr>
      <vt:lpstr>'Leisure Costs'!Print_Area</vt:lpstr>
      <vt:lpstr>'Per-capita Cost of Services'!Print_Area</vt:lpstr>
      <vt:lpstr>'Permit Revenue_Cost'!Print_Area</vt:lpstr>
      <vt:lpstr>'Population Assumptions'!Print_Area</vt:lpstr>
      <vt:lpstr>'Prelim Development Assumptions'!Print_Area</vt:lpstr>
      <vt:lpstr>'Public Safety Costs'!Print_Area</vt:lpstr>
      <vt:lpstr>'Revenue and Cost Comp'!Print_Area</vt:lpstr>
      <vt:lpstr>'Revenue SUMMARY'!Print_Area</vt:lpstr>
      <vt:lpstr>'Sales Tax'!Print_Area</vt:lpstr>
      <vt:lpstr>Schools!Print_Area</vt:lpstr>
      <vt:lpstr>'Square Footage Values'!Print_Area</vt:lpstr>
      <vt:lpstr>Stormwater!Print_Area</vt:lpstr>
      <vt:lpstr>'Tax Calculation'!Print_Area</vt:lpstr>
      <vt:lpstr>'Town Tax Breakout'!Print_Area</vt:lpstr>
      <vt:lpstr>'Vehicle Tax'!Print_Area</vt:lpstr>
    </vt:vector>
  </TitlesOfParts>
  <Company>City of Durham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Megan Wooley</cp:lastModifiedBy>
  <cp:lastPrinted>2014-10-30T17:28:12Z</cp:lastPrinted>
  <dcterms:created xsi:type="dcterms:W3CDTF">2003-04-11T18:40:36Z</dcterms:created>
  <dcterms:modified xsi:type="dcterms:W3CDTF">2014-11-05T18:55:29Z</dcterms:modified>
</cp:coreProperties>
</file>